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24" documentId="13_ncr:1_{D3608A74-1843-47F2-ABD2-AACE672178DD}" xr6:coauthVersionLast="47" xr6:coauthVersionMax="47" xr10:uidLastSave="{E8227255-580F-4BDD-83A6-E21CD126A672}"/>
  <bookViews>
    <workbookView xWindow="-108" yWindow="-108" windowWidth="23256" windowHeight="12576" activeTab="4" xr2:uid="{00000000-000D-0000-FFFF-FFFF00000000}"/>
  </bookViews>
  <sheets>
    <sheet name="List of Items &amp; Enquiry number" sheetId="16" r:id="rId1"/>
    <sheet name="Source Data" sheetId="17" r:id="rId2"/>
    <sheet name="SWERISOL Schedule Selector" sheetId="18" state="hidden" r:id="rId3"/>
    <sheet name="Deviation Schedule" sheetId="15" r:id="rId4"/>
    <sheet name="0180281" sheetId="19" r:id="rId5"/>
    <sheet name="0180282" sheetId="20" r:id="rId6"/>
    <sheet name="0205441" sheetId="21" r:id="rId7"/>
    <sheet name="0180283" sheetId="24" r:id="rId8"/>
    <sheet name="0180284" sheetId="23" r:id="rId9"/>
    <sheet name="0205443" sheetId="22" r:id="rId10"/>
    <sheet name="0180285" sheetId="27" r:id="rId11"/>
    <sheet name="0180286" sheetId="26" r:id="rId12"/>
    <sheet name="0205439" sheetId="25" r:id="rId13"/>
    <sheet name="0180287" sheetId="28" r:id="rId14"/>
    <sheet name="0180288" sheetId="29" r:id="rId15"/>
    <sheet name="0205445" sheetId="30" r:id="rId16"/>
  </sheets>
  <definedNames>
    <definedName name="_xlnm.Print_Area" localSheetId="4">'0180281'!$B$2:$G$143</definedName>
    <definedName name="_xlnm.Print_Area" localSheetId="5">'0180282'!$B$2:$G$143</definedName>
    <definedName name="_xlnm.Print_Area" localSheetId="7">'0180283'!$B$2:$G$143</definedName>
    <definedName name="_xlnm.Print_Area" localSheetId="8">'0180284'!$B$2:$G$143</definedName>
    <definedName name="_xlnm.Print_Area" localSheetId="10">'0180285'!$B$2:$G$143</definedName>
    <definedName name="_xlnm.Print_Area" localSheetId="11">'0180286'!$B$2:$G$143</definedName>
    <definedName name="_xlnm.Print_Area" localSheetId="13">'0180287'!$B$2:$G$143</definedName>
    <definedName name="_xlnm.Print_Area" localSheetId="14">'0180288'!$B$2:$G$143</definedName>
    <definedName name="_xlnm.Print_Area" localSheetId="12">'0205439'!$B$2:$G$143</definedName>
    <definedName name="_xlnm.Print_Area" localSheetId="6">'0205441'!$B$2:$G$143</definedName>
    <definedName name="_xlnm.Print_Area" localSheetId="9">'0205443'!$B$2:$G$143</definedName>
    <definedName name="_xlnm.Print_Area" localSheetId="15">'0205445'!$B$2:$G$143</definedName>
    <definedName name="_xlnm.Print_Area" localSheetId="3">'Deviation Schedule'!$A$1:$G$44</definedName>
    <definedName name="_xlnm.Print_Area" localSheetId="1">'Source Data'!$A$1:$A$15</definedName>
    <definedName name="_xlnm.Print_Area" localSheetId="2">'SWERISOL Schedule Selector'!$B$2:$G$143</definedName>
    <definedName name="Z_06C7796F_60FE_4B15_9D17_353082FC47C0_.wvu.PrintArea" localSheetId="4" hidden="1">'0180281'!$B$2:$G$143</definedName>
    <definedName name="Z_06C7796F_60FE_4B15_9D17_353082FC47C0_.wvu.PrintArea" localSheetId="5" hidden="1">'0180282'!$B$2:$G$143</definedName>
    <definedName name="Z_06C7796F_60FE_4B15_9D17_353082FC47C0_.wvu.PrintArea" localSheetId="7" hidden="1">'0180283'!$B$2:$G$143</definedName>
    <definedName name="Z_06C7796F_60FE_4B15_9D17_353082FC47C0_.wvu.PrintArea" localSheetId="8" hidden="1">'0180284'!$B$2:$G$143</definedName>
    <definedName name="Z_06C7796F_60FE_4B15_9D17_353082FC47C0_.wvu.PrintArea" localSheetId="10" hidden="1">'0180285'!$B$2:$G$143</definedName>
    <definedName name="Z_06C7796F_60FE_4B15_9D17_353082FC47C0_.wvu.PrintArea" localSheetId="11" hidden="1">'0180286'!$B$2:$G$143</definedName>
    <definedName name="Z_06C7796F_60FE_4B15_9D17_353082FC47C0_.wvu.PrintArea" localSheetId="13" hidden="1">'0180287'!$B$2:$G$143</definedName>
    <definedName name="Z_06C7796F_60FE_4B15_9D17_353082FC47C0_.wvu.PrintArea" localSheetId="14" hidden="1">'0180288'!$B$2:$G$143</definedName>
    <definedName name="Z_06C7796F_60FE_4B15_9D17_353082FC47C0_.wvu.PrintArea" localSheetId="12" hidden="1">'0205439'!$B$2:$G$143</definedName>
    <definedName name="Z_06C7796F_60FE_4B15_9D17_353082FC47C0_.wvu.PrintArea" localSheetId="6" hidden="1">'0205441'!$B$2:$G$143</definedName>
    <definedName name="Z_06C7796F_60FE_4B15_9D17_353082FC47C0_.wvu.PrintArea" localSheetId="9" hidden="1">'0205443'!$B$2:$G$143</definedName>
    <definedName name="Z_06C7796F_60FE_4B15_9D17_353082FC47C0_.wvu.PrintArea" localSheetId="15" hidden="1">'0205445'!$B$2:$G$143</definedName>
    <definedName name="Z_06C7796F_60FE_4B15_9D17_353082FC47C0_.wvu.PrintArea" localSheetId="2" hidden="1">'SWERISOL Schedule Selector'!$B$2:$G$143</definedName>
    <definedName name="Z_0E947597_B9FB_408F_B47C_A2D788D00D7C_.wvu.PrintArea" localSheetId="4" hidden="1">'0180281'!$B$2:$G$143</definedName>
    <definedName name="Z_0E947597_B9FB_408F_B47C_A2D788D00D7C_.wvu.PrintArea" localSheetId="5" hidden="1">'0180282'!$B$2:$G$143</definedName>
    <definedName name="Z_0E947597_B9FB_408F_B47C_A2D788D00D7C_.wvu.PrintArea" localSheetId="7" hidden="1">'0180283'!$B$2:$G$143</definedName>
    <definedName name="Z_0E947597_B9FB_408F_B47C_A2D788D00D7C_.wvu.PrintArea" localSheetId="8" hidden="1">'0180284'!$B$2:$G$143</definedName>
    <definedName name="Z_0E947597_B9FB_408F_B47C_A2D788D00D7C_.wvu.PrintArea" localSheetId="10" hidden="1">'0180285'!$B$2:$G$143</definedName>
    <definedName name="Z_0E947597_B9FB_408F_B47C_A2D788D00D7C_.wvu.PrintArea" localSheetId="11" hidden="1">'0180286'!$B$2:$G$143</definedName>
    <definedName name="Z_0E947597_B9FB_408F_B47C_A2D788D00D7C_.wvu.PrintArea" localSheetId="13" hidden="1">'0180287'!$B$2:$G$143</definedName>
    <definedName name="Z_0E947597_B9FB_408F_B47C_A2D788D00D7C_.wvu.PrintArea" localSheetId="14" hidden="1">'0180288'!$B$2:$G$143</definedName>
    <definedName name="Z_0E947597_B9FB_408F_B47C_A2D788D00D7C_.wvu.PrintArea" localSheetId="12" hidden="1">'0205439'!$B$2:$G$143</definedName>
    <definedName name="Z_0E947597_B9FB_408F_B47C_A2D788D00D7C_.wvu.PrintArea" localSheetId="6" hidden="1">'0205441'!$B$2:$G$143</definedName>
    <definedName name="Z_0E947597_B9FB_408F_B47C_A2D788D00D7C_.wvu.PrintArea" localSheetId="9" hidden="1">'0205443'!$B$2:$G$143</definedName>
    <definedName name="Z_0E947597_B9FB_408F_B47C_A2D788D00D7C_.wvu.PrintArea" localSheetId="15" hidden="1">'0205445'!$B$2:$G$143</definedName>
    <definedName name="Z_0E947597_B9FB_408F_B47C_A2D788D00D7C_.wvu.PrintArea" localSheetId="2" hidden="1">'SWERISOL Schedule Selector'!$B$2:$G$143</definedName>
    <definedName name="Z_117BB064_59A1_4952_B02A_C3693ED5C297_.wvu.PrintArea" localSheetId="4" hidden="1">'0180281'!$B$2:$G$143</definedName>
    <definedName name="Z_117BB064_59A1_4952_B02A_C3693ED5C297_.wvu.PrintArea" localSheetId="5" hidden="1">'0180282'!$B$2:$G$143</definedName>
    <definedName name="Z_117BB064_59A1_4952_B02A_C3693ED5C297_.wvu.PrintArea" localSheetId="7" hidden="1">'0180283'!$B$2:$G$143</definedName>
    <definedName name="Z_117BB064_59A1_4952_B02A_C3693ED5C297_.wvu.PrintArea" localSheetId="8" hidden="1">'0180284'!$B$2:$G$143</definedName>
    <definedName name="Z_117BB064_59A1_4952_B02A_C3693ED5C297_.wvu.PrintArea" localSheetId="10" hidden="1">'0180285'!$B$2:$G$143</definedName>
    <definedName name="Z_117BB064_59A1_4952_B02A_C3693ED5C297_.wvu.PrintArea" localSheetId="11" hidden="1">'0180286'!$B$2:$G$143</definedName>
    <definedName name="Z_117BB064_59A1_4952_B02A_C3693ED5C297_.wvu.PrintArea" localSheetId="13" hidden="1">'0180287'!$B$2:$G$143</definedName>
    <definedName name="Z_117BB064_59A1_4952_B02A_C3693ED5C297_.wvu.PrintArea" localSheetId="14" hidden="1">'0180288'!$B$2:$G$143</definedName>
    <definedName name="Z_117BB064_59A1_4952_B02A_C3693ED5C297_.wvu.PrintArea" localSheetId="12" hidden="1">'0205439'!$B$2:$G$143</definedName>
    <definedName name="Z_117BB064_59A1_4952_B02A_C3693ED5C297_.wvu.PrintArea" localSheetId="6" hidden="1">'0205441'!$B$2:$G$143</definedName>
    <definedName name="Z_117BB064_59A1_4952_B02A_C3693ED5C297_.wvu.PrintArea" localSheetId="9" hidden="1">'0205443'!$B$2:$G$143</definedName>
    <definedName name="Z_117BB064_59A1_4952_B02A_C3693ED5C297_.wvu.PrintArea" localSheetId="15" hidden="1">'0205445'!$B$2:$G$143</definedName>
    <definedName name="Z_117BB064_59A1_4952_B02A_C3693ED5C297_.wvu.PrintArea" localSheetId="2" hidden="1">'SWERISOL Schedule Selector'!$B$2:$G$143</definedName>
    <definedName name="Z_169CE84D_4086_40BF_A0E4_FFFF3CE5EB7D_.wvu.PrintArea" localSheetId="4" hidden="1">'0180281'!$B$2:$G$143</definedName>
    <definedName name="Z_169CE84D_4086_40BF_A0E4_FFFF3CE5EB7D_.wvu.PrintArea" localSheetId="5" hidden="1">'0180282'!$B$2:$G$143</definedName>
    <definedName name="Z_169CE84D_4086_40BF_A0E4_FFFF3CE5EB7D_.wvu.PrintArea" localSheetId="7" hidden="1">'0180283'!$B$2:$G$143</definedName>
    <definedName name="Z_169CE84D_4086_40BF_A0E4_FFFF3CE5EB7D_.wvu.PrintArea" localSheetId="8" hidden="1">'0180284'!$B$2:$G$143</definedName>
    <definedName name="Z_169CE84D_4086_40BF_A0E4_FFFF3CE5EB7D_.wvu.PrintArea" localSheetId="10" hidden="1">'0180285'!$B$2:$G$143</definedName>
    <definedName name="Z_169CE84D_4086_40BF_A0E4_FFFF3CE5EB7D_.wvu.PrintArea" localSheetId="11" hidden="1">'0180286'!$B$2:$G$143</definedName>
    <definedName name="Z_169CE84D_4086_40BF_A0E4_FFFF3CE5EB7D_.wvu.PrintArea" localSheetId="13" hidden="1">'0180287'!$B$2:$G$143</definedName>
    <definedName name="Z_169CE84D_4086_40BF_A0E4_FFFF3CE5EB7D_.wvu.PrintArea" localSheetId="14" hidden="1">'0180288'!$B$2:$G$143</definedName>
    <definedName name="Z_169CE84D_4086_40BF_A0E4_FFFF3CE5EB7D_.wvu.PrintArea" localSheetId="12" hidden="1">'0205439'!$B$2:$G$143</definedName>
    <definedName name="Z_169CE84D_4086_40BF_A0E4_FFFF3CE5EB7D_.wvu.PrintArea" localSheetId="6" hidden="1">'0205441'!$B$2:$G$143</definedName>
    <definedName name="Z_169CE84D_4086_40BF_A0E4_FFFF3CE5EB7D_.wvu.PrintArea" localSheetId="9" hidden="1">'0205443'!$B$2:$G$143</definedName>
    <definedName name="Z_169CE84D_4086_40BF_A0E4_FFFF3CE5EB7D_.wvu.PrintArea" localSheetId="15" hidden="1">'0205445'!$B$2:$G$143</definedName>
    <definedName name="Z_169CE84D_4086_40BF_A0E4_FFFF3CE5EB7D_.wvu.PrintArea" localSheetId="2" hidden="1">'SWERISOL Schedule Selector'!$B$2:$G$143</definedName>
    <definedName name="Z_17EE5DBF_0FE4_4A5B_BD66_2BA19DB4059D_.wvu.PrintArea" localSheetId="4" hidden="1">'0180281'!$B$2:$G$143</definedName>
    <definedName name="Z_17EE5DBF_0FE4_4A5B_BD66_2BA19DB4059D_.wvu.PrintArea" localSheetId="5" hidden="1">'0180282'!$B$2:$G$143</definedName>
    <definedName name="Z_17EE5DBF_0FE4_4A5B_BD66_2BA19DB4059D_.wvu.PrintArea" localSheetId="7" hidden="1">'0180283'!$B$2:$G$143</definedName>
    <definedName name="Z_17EE5DBF_0FE4_4A5B_BD66_2BA19DB4059D_.wvu.PrintArea" localSheetId="8" hidden="1">'0180284'!$B$2:$G$143</definedName>
    <definedName name="Z_17EE5DBF_0FE4_4A5B_BD66_2BA19DB4059D_.wvu.PrintArea" localSheetId="10" hidden="1">'0180285'!$B$2:$G$143</definedName>
    <definedName name="Z_17EE5DBF_0FE4_4A5B_BD66_2BA19DB4059D_.wvu.PrintArea" localSheetId="11" hidden="1">'0180286'!$B$2:$G$143</definedName>
    <definedName name="Z_17EE5DBF_0FE4_4A5B_BD66_2BA19DB4059D_.wvu.PrintArea" localSheetId="13" hidden="1">'0180287'!$B$2:$G$143</definedName>
    <definedName name="Z_17EE5DBF_0FE4_4A5B_BD66_2BA19DB4059D_.wvu.PrintArea" localSheetId="14" hidden="1">'0180288'!$B$2:$G$143</definedName>
    <definedName name="Z_17EE5DBF_0FE4_4A5B_BD66_2BA19DB4059D_.wvu.PrintArea" localSheetId="12" hidden="1">'0205439'!$B$2:$G$143</definedName>
    <definedName name="Z_17EE5DBF_0FE4_4A5B_BD66_2BA19DB4059D_.wvu.PrintArea" localSheetId="6" hidden="1">'0205441'!$B$2:$G$143</definedName>
    <definedName name="Z_17EE5DBF_0FE4_4A5B_BD66_2BA19DB4059D_.wvu.PrintArea" localSheetId="9" hidden="1">'0205443'!$B$2:$G$143</definedName>
    <definedName name="Z_17EE5DBF_0FE4_4A5B_BD66_2BA19DB4059D_.wvu.PrintArea" localSheetId="15" hidden="1">'0205445'!$B$2:$G$143</definedName>
    <definedName name="Z_17EE5DBF_0FE4_4A5B_BD66_2BA19DB4059D_.wvu.PrintArea" localSheetId="2" hidden="1">'SWERISOL Schedule Selector'!$B$2:$G$143</definedName>
    <definedName name="Z_1A1D99E6_5E8C_41DD_96E1_A214C10404CE_.wvu.PrintArea" localSheetId="4" hidden="1">'0180281'!$B$2:$G$143</definedName>
    <definedName name="Z_1A1D99E6_5E8C_41DD_96E1_A214C10404CE_.wvu.PrintArea" localSheetId="5" hidden="1">'0180282'!$B$2:$G$143</definedName>
    <definedName name="Z_1A1D99E6_5E8C_41DD_96E1_A214C10404CE_.wvu.PrintArea" localSheetId="7" hidden="1">'0180283'!$B$2:$G$143</definedName>
    <definedName name="Z_1A1D99E6_5E8C_41DD_96E1_A214C10404CE_.wvu.PrintArea" localSheetId="8" hidden="1">'0180284'!$B$2:$G$143</definedName>
    <definedName name="Z_1A1D99E6_5E8C_41DD_96E1_A214C10404CE_.wvu.PrintArea" localSheetId="10" hidden="1">'0180285'!$B$2:$G$143</definedName>
    <definedName name="Z_1A1D99E6_5E8C_41DD_96E1_A214C10404CE_.wvu.PrintArea" localSheetId="11" hidden="1">'0180286'!$B$2:$G$143</definedName>
    <definedName name="Z_1A1D99E6_5E8C_41DD_96E1_A214C10404CE_.wvu.PrintArea" localSheetId="13" hidden="1">'0180287'!$B$2:$G$143</definedName>
    <definedName name="Z_1A1D99E6_5E8C_41DD_96E1_A214C10404CE_.wvu.PrintArea" localSheetId="14" hidden="1">'0180288'!$B$2:$G$143</definedName>
    <definedName name="Z_1A1D99E6_5E8C_41DD_96E1_A214C10404CE_.wvu.PrintArea" localSheetId="12" hidden="1">'0205439'!$B$2:$G$143</definedName>
    <definedName name="Z_1A1D99E6_5E8C_41DD_96E1_A214C10404CE_.wvu.PrintArea" localSheetId="6" hidden="1">'0205441'!$B$2:$G$143</definedName>
    <definedName name="Z_1A1D99E6_5E8C_41DD_96E1_A214C10404CE_.wvu.PrintArea" localSheetId="9" hidden="1">'0205443'!$B$2:$G$143</definedName>
    <definedName name="Z_1A1D99E6_5E8C_41DD_96E1_A214C10404CE_.wvu.PrintArea" localSheetId="15" hidden="1">'0205445'!$B$2:$G$143</definedName>
    <definedName name="Z_1A1D99E6_5E8C_41DD_96E1_A214C10404CE_.wvu.PrintArea" localSheetId="2" hidden="1">'SWERISOL Schedule Selector'!$B$2:$G$143</definedName>
    <definedName name="Z_1D4E1FAD_3456_499A_A82D_FB40CF1A8068_.wvu.PrintArea" localSheetId="4" hidden="1">'0180281'!$B$2:$G$143</definedName>
    <definedName name="Z_1D4E1FAD_3456_499A_A82D_FB40CF1A8068_.wvu.PrintArea" localSheetId="5" hidden="1">'0180282'!$B$2:$G$143</definedName>
    <definedName name="Z_1D4E1FAD_3456_499A_A82D_FB40CF1A8068_.wvu.PrintArea" localSheetId="7" hidden="1">'0180283'!$B$2:$G$143</definedName>
    <definedName name="Z_1D4E1FAD_3456_499A_A82D_FB40CF1A8068_.wvu.PrintArea" localSheetId="8" hidden="1">'0180284'!$B$2:$G$143</definedName>
    <definedName name="Z_1D4E1FAD_3456_499A_A82D_FB40CF1A8068_.wvu.PrintArea" localSheetId="10" hidden="1">'0180285'!$B$2:$G$143</definedName>
    <definedName name="Z_1D4E1FAD_3456_499A_A82D_FB40CF1A8068_.wvu.PrintArea" localSheetId="11" hidden="1">'0180286'!$B$2:$G$143</definedName>
    <definedName name="Z_1D4E1FAD_3456_499A_A82D_FB40CF1A8068_.wvu.PrintArea" localSheetId="13" hidden="1">'0180287'!$B$2:$G$143</definedName>
    <definedName name="Z_1D4E1FAD_3456_499A_A82D_FB40CF1A8068_.wvu.PrintArea" localSheetId="14" hidden="1">'0180288'!$B$2:$G$143</definedName>
    <definedName name="Z_1D4E1FAD_3456_499A_A82D_FB40CF1A8068_.wvu.PrintArea" localSheetId="12" hidden="1">'0205439'!$B$2:$G$143</definedName>
    <definedName name="Z_1D4E1FAD_3456_499A_A82D_FB40CF1A8068_.wvu.PrintArea" localSheetId="6" hidden="1">'0205441'!$B$2:$G$143</definedName>
    <definedName name="Z_1D4E1FAD_3456_499A_A82D_FB40CF1A8068_.wvu.PrintArea" localSheetId="9" hidden="1">'0205443'!$B$2:$G$143</definedName>
    <definedName name="Z_1D4E1FAD_3456_499A_A82D_FB40CF1A8068_.wvu.PrintArea" localSheetId="15" hidden="1">'0205445'!$B$2:$G$143</definedName>
    <definedName name="Z_1D4E1FAD_3456_499A_A82D_FB40CF1A8068_.wvu.PrintArea" localSheetId="2" hidden="1">'SWERISOL Schedule Selector'!$B$2:$G$143</definedName>
    <definedName name="Z_29FDB895_FDFF_4EC3_B5AF_C214E465DEEB_.wvu.PrintArea" localSheetId="4" hidden="1">'0180281'!$B$2:$G$143</definedName>
    <definedName name="Z_29FDB895_FDFF_4EC3_B5AF_C214E465DEEB_.wvu.PrintArea" localSheetId="5" hidden="1">'0180282'!$B$2:$G$143</definedName>
    <definedName name="Z_29FDB895_FDFF_4EC3_B5AF_C214E465DEEB_.wvu.PrintArea" localSheetId="7" hidden="1">'0180283'!$B$2:$G$143</definedName>
    <definedName name="Z_29FDB895_FDFF_4EC3_B5AF_C214E465DEEB_.wvu.PrintArea" localSheetId="8" hidden="1">'0180284'!$B$2:$G$143</definedName>
    <definedName name="Z_29FDB895_FDFF_4EC3_B5AF_C214E465DEEB_.wvu.PrintArea" localSheetId="10" hidden="1">'0180285'!$B$2:$G$143</definedName>
    <definedName name="Z_29FDB895_FDFF_4EC3_B5AF_C214E465DEEB_.wvu.PrintArea" localSheetId="11" hidden="1">'0180286'!$B$2:$G$143</definedName>
    <definedName name="Z_29FDB895_FDFF_4EC3_B5AF_C214E465DEEB_.wvu.PrintArea" localSheetId="13" hidden="1">'0180287'!$B$2:$G$143</definedName>
    <definedName name="Z_29FDB895_FDFF_4EC3_B5AF_C214E465DEEB_.wvu.PrintArea" localSheetId="14" hidden="1">'0180288'!$B$2:$G$143</definedName>
    <definedName name="Z_29FDB895_FDFF_4EC3_B5AF_C214E465DEEB_.wvu.PrintArea" localSheetId="12" hidden="1">'0205439'!$B$2:$G$143</definedName>
    <definedName name="Z_29FDB895_FDFF_4EC3_B5AF_C214E465DEEB_.wvu.PrintArea" localSheetId="6" hidden="1">'0205441'!$B$2:$G$143</definedName>
    <definedName name="Z_29FDB895_FDFF_4EC3_B5AF_C214E465DEEB_.wvu.PrintArea" localSheetId="9" hidden="1">'0205443'!$B$2:$G$143</definedName>
    <definedName name="Z_29FDB895_FDFF_4EC3_B5AF_C214E465DEEB_.wvu.PrintArea" localSheetId="15" hidden="1">'0205445'!$B$2:$G$143</definedName>
    <definedName name="Z_29FDB895_FDFF_4EC3_B5AF_C214E465DEEB_.wvu.PrintArea" localSheetId="2" hidden="1">'SWERISOL Schedule Selector'!$B$2:$G$143</definedName>
    <definedName name="Z_3943ECC5_6242_44C8_BEFD_1B91BF0593A8_.wvu.PrintArea" localSheetId="4" hidden="1">'0180281'!$B$2:$G$143</definedName>
    <definedName name="Z_3943ECC5_6242_44C8_BEFD_1B91BF0593A8_.wvu.PrintArea" localSheetId="5" hidden="1">'0180282'!$B$2:$G$143</definedName>
    <definedName name="Z_3943ECC5_6242_44C8_BEFD_1B91BF0593A8_.wvu.PrintArea" localSheetId="7" hidden="1">'0180283'!$B$2:$G$143</definedName>
    <definedName name="Z_3943ECC5_6242_44C8_BEFD_1B91BF0593A8_.wvu.PrintArea" localSheetId="8" hidden="1">'0180284'!$B$2:$G$143</definedName>
    <definedName name="Z_3943ECC5_6242_44C8_BEFD_1B91BF0593A8_.wvu.PrintArea" localSheetId="10" hidden="1">'0180285'!$B$2:$G$143</definedName>
    <definedName name="Z_3943ECC5_6242_44C8_BEFD_1B91BF0593A8_.wvu.PrintArea" localSheetId="11" hidden="1">'0180286'!$B$2:$G$143</definedName>
    <definedName name="Z_3943ECC5_6242_44C8_BEFD_1B91BF0593A8_.wvu.PrintArea" localSheetId="13" hidden="1">'0180287'!$B$2:$G$143</definedName>
    <definedName name="Z_3943ECC5_6242_44C8_BEFD_1B91BF0593A8_.wvu.PrintArea" localSheetId="14" hidden="1">'0180288'!$B$2:$G$143</definedName>
    <definedName name="Z_3943ECC5_6242_44C8_BEFD_1B91BF0593A8_.wvu.PrintArea" localSheetId="12" hidden="1">'0205439'!$B$2:$G$143</definedName>
    <definedName name="Z_3943ECC5_6242_44C8_BEFD_1B91BF0593A8_.wvu.PrintArea" localSheetId="6" hidden="1">'0205441'!$B$2:$G$143</definedName>
    <definedName name="Z_3943ECC5_6242_44C8_BEFD_1B91BF0593A8_.wvu.PrintArea" localSheetId="9" hidden="1">'0205443'!$B$2:$G$143</definedName>
    <definedName name="Z_3943ECC5_6242_44C8_BEFD_1B91BF0593A8_.wvu.PrintArea" localSheetId="15" hidden="1">'0205445'!$B$2:$G$143</definedName>
    <definedName name="Z_3943ECC5_6242_44C8_BEFD_1B91BF0593A8_.wvu.PrintArea" localSheetId="2" hidden="1">'SWERISOL Schedule Selector'!$B$2:$G$143</definedName>
    <definedName name="Z_4A294F5F_16F1_48B2_A8A8_1EB33557755F_.wvu.PrintArea" localSheetId="4" hidden="1">'0180281'!$B$2:$G$143</definedName>
    <definedName name="Z_4A294F5F_16F1_48B2_A8A8_1EB33557755F_.wvu.PrintArea" localSheetId="5" hidden="1">'0180282'!$B$2:$G$143</definedName>
    <definedName name="Z_4A294F5F_16F1_48B2_A8A8_1EB33557755F_.wvu.PrintArea" localSheetId="7" hidden="1">'0180283'!$B$2:$G$143</definedName>
    <definedName name="Z_4A294F5F_16F1_48B2_A8A8_1EB33557755F_.wvu.PrintArea" localSheetId="8" hidden="1">'0180284'!$B$2:$G$143</definedName>
    <definedName name="Z_4A294F5F_16F1_48B2_A8A8_1EB33557755F_.wvu.PrintArea" localSheetId="10" hidden="1">'0180285'!$B$2:$G$143</definedName>
    <definedName name="Z_4A294F5F_16F1_48B2_A8A8_1EB33557755F_.wvu.PrintArea" localSheetId="11" hidden="1">'0180286'!$B$2:$G$143</definedName>
    <definedName name="Z_4A294F5F_16F1_48B2_A8A8_1EB33557755F_.wvu.PrintArea" localSheetId="13" hidden="1">'0180287'!$B$2:$G$143</definedName>
    <definedName name="Z_4A294F5F_16F1_48B2_A8A8_1EB33557755F_.wvu.PrintArea" localSheetId="14" hidden="1">'0180288'!$B$2:$G$143</definedName>
    <definedName name="Z_4A294F5F_16F1_48B2_A8A8_1EB33557755F_.wvu.PrintArea" localSheetId="12" hidden="1">'0205439'!$B$2:$G$143</definedName>
    <definedName name="Z_4A294F5F_16F1_48B2_A8A8_1EB33557755F_.wvu.PrintArea" localSheetId="6" hidden="1">'0205441'!$B$2:$G$143</definedName>
    <definedName name="Z_4A294F5F_16F1_48B2_A8A8_1EB33557755F_.wvu.PrintArea" localSheetId="9" hidden="1">'0205443'!$B$2:$G$143</definedName>
    <definedName name="Z_4A294F5F_16F1_48B2_A8A8_1EB33557755F_.wvu.PrintArea" localSheetId="15" hidden="1">'0205445'!$B$2:$G$143</definedName>
    <definedName name="Z_4A294F5F_16F1_48B2_A8A8_1EB33557755F_.wvu.PrintArea" localSheetId="2" hidden="1">'SWERISOL Schedule Selector'!$B$2:$G$143</definedName>
    <definedName name="Z_63B0D61F_848C_494A_B934_73A922F5C779_.wvu.PrintArea" localSheetId="4" hidden="1">'0180281'!$B$2:$G$143</definedName>
    <definedName name="Z_63B0D61F_848C_494A_B934_73A922F5C779_.wvu.PrintArea" localSheetId="5" hidden="1">'0180282'!$B$2:$G$143</definedName>
    <definedName name="Z_63B0D61F_848C_494A_B934_73A922F5C779_.wvu.PrintArea" localSheetId="7" hidden="1">'0180283'!$B$2:$G$143</definedName>
    <definedName name="Z_63B0D61F_848C_494A_B934_73A922F5C779_.wvu.PrintArea" localSheetId="8" hidden="1">'0180284'!$B$2:$G$143</definedName>
    <definedName name="Z_63B0D61F_848C_494A_B934_73A922F5C779_.wvu.PrintArea" localSheetId="10" hidden="1">'0180285'!$B$2:$G$143</definedName>
    <definedName name="Z_63B0D61F_848C_494A_B934_73A922F5C779_.wvu.PrintArea" localSheetId="11" hidden="1">'0180286'!$B$2:$G$143</definedName>
    <definedName name="Z_63B0D61F_848C_494A_B934_73A922F5C779_.wvu.PrintArea" localSheetId="13" hidden="1">'0180287'!$B$2:$G$143</definedName>
    <definedName name="Z_63B0D61F_848C_494A_B934_73A922F5C779_.wvu.PrintArea" localSheetId="14" hidden="1">'0180288'!$B$2:$G$143</definedName>
    <definedName name="Z_63B0D61F_848C_494A_B934_73A922F5C779_.wvu.PrintArea" localSheetId="12" hidden="1">'0205439'!$B$2:$G$143</definedName>
    <definedName name="Z_63B0D61F_848C_494A_B934_73A922F5C779_.wvu.PrintArea" localSheetId="6" hidden="1">'0205441'!$B$2:$G$143</definedName>
    <definedName name="Z_63B0D61F_848C_494A_B934_73A922F5C779_.wvu.PrintArea" localSheetId="9" hidden="1">'0205443'!$B$2:$G$143</definedName>
    <definedName name="Z_63B0D61F_848C_494A_B934_73A922F5C779_.wvu.PrintArea" localSheetId="15" hidden="1">'0205445'!$B$2:$G$143</definedName>
    <definedName name="Z_63B0D61F_848C_494A_B934_73A922F5C779_.wvu.PrintArea" localSheetId="2" hidden="1">'SWERISOL Schedule Selector'!$B$2:$G$143</definedName>
    <definedName name="Z_661F14B0_7E60_4C52_A9F7_FCFD0F09BA1F_.wvu.PrintArea" localSheetId="4" hidden="1">'0180281'!$B$2:$G$143</definedName>
    <definedName name="Z_661F14B0_7E60_4C52_A9F7_FCFD0F09BA1F_.wvu.PrintArea" localSheetId="5" hidden="1">'0180282'!$B$2:$G$143</definedName>
    <definedName name="Z_661F14B0_7E60_4C52_A9F7_FCFD0F09BA1F_.wvu.PrintArea" localSheetId="7" hidden="1">'0180283'!$B$2:$G$143</definedName>
    <definedName name="Z_661F14B0_7E60_4C52_A9F7_FCFD0F09BA1F_.wvu.PrintArea" localSheetId="8" hidden="1">'0180284'!$B$2:$G$143</definedName>
    <definedName name="Z_661F14B0_7E60_4C52_A9F7_FCFD0F09BA1F_.wvu.PrintArea" localSheetId="10" hidden="1">'0180285'!$B$2:$G$143</definedName>
    <definedName name="Z_661F14B0_7E60_4C52_A9F7_FCFD0F09BA1F_.wvu.PrintArea" localSheetId="11" hidden="1">'0180286'!$B$2:$G$143</definedName>
    <definedName name="Z_661F14B0_7E60_4C52_A9F7_FCFD0F09BA1F_.wvu.PrintArea" localSheetId="13" hidden="1">'0180287'!$B$2:$G$143</definedName>
    <definedName name="Z_661F14B0_7E60_4C52_A9F7_FCFD0F09BA1F_.wvu.PrintArea" localSheetId="14" hidden="1">'0180288'!$B$2:$G$143</definedName>
    <definedName name="Z_661F14B0_7E60_4C52_A9F7_FCFD0F09BA1F_.wvu.PrintArea" localSheetId="12" hidden="1">'0205439'!$B$2:$G$143</definedName>
    <definedName name="Z_661F14B0_7E60_4C52_A9F7_FCFD0F09BA1F_.wvu.PrintArea" localSheetId="6" hidden="1">'0205441'!$B$2:$G$143</definedName>
    <definedName name="Z_661F14B0_7E60_4C52_A9F7_FCFD0F09BA1F_.wvu.PrintArea" localSheetId="9" hidden="1">'0205443'!$B$2:$G$143</definedName>
    <definedName name="Z_661F14B0_7E60_4C52_A9F7_FCFD0F09BA1F_.wvu.PrintArea" localSheetId="15" hidden="1">'0205445'!$B$2:$G$143</definedName>
    <definedName name="Z_661F14B0_7E60_4C52_A9F7_FCFD0F09BA1F_.wvu.PrintArea" localSheetId="2" hidden="1">'SWERISOL Schedule Selector'!$B$2:$G$143</definedName>
    <definedName name="Z_7FA323DB_86D3_48A8_9453_C28D721B35AA_.wvu.PrintArea" localSheetId="4" hidden="1">'0180281'!$B$2:$G$143</definedName>
    <definedName name="Z_7FA323DB_86D3_48A8_9453_C28D721B35AA_.wvu.PrintArea" localSheetId="5" hidden="1">'0180282'!$B$2:$G$143</definedName>
    <definedName name="Z_7FA323DB_86D3_48A8_9453_C28D721B35AA_.wvu.PrintArea" localSheetId="7" hidden="1">'0180283'!$B$2:$G$143</definedName>
    <definedName name="Z_7FA323DB_86D3_48A8_9453_C28D721B35AA_.wvu.PrintArea" localSheetId="8" hidden="1">'0180284'!$B$2:$G$143</definedName>
    <definedName name="Z_7FA323DB_86D3_48A8_9453_C28D721B35AA_.wvu.PrintArea" localSheetId="10" hidden="1">'0180285'!$B$2:$G$143</definedName>
    <definedName name="Z_7FA323DB_86D3_48A8_9453_C28D721B35AA_.wvu.PrintArea" localSheetId="11" hidden="1">'0180286'!$B$2:$G$143</definedName>
    <definedName name="Z_7FA323DB_86D3_48A8_9453_C28D721B35AA_.wvu.PrintArea" localSheetId="13" hidden="1">'0180287'!$B$2:$G$143</definedName>
    <definedName name="Z_7FA323DB_86D3_48A8_9453_C28D721B35AA_.wvu.PrintArea" localSheetId="14" hidden="1">'0180288'!$B$2:$G$143</definedName>
    <definedName name="Z_7FA323DB_86D3_48A8_9453_C28D721B35AA_.wvu.PrintArea" localSheetId="12" hidden="1">'0205439'!$B$2:$G$143</definedName>
    <definedName name="Z_7FA323DB_86D3_48A8_9453_C28D721B35AA_.wvu.PrintArea" localSheetId="6" hidden="1">'0205441'!$B$2:$G$143</definedName>
    <definedName name="Z_7FA323DB_86D3_48A8_9453_C28D721B35AA_.wvu.PrintArea" localSheetId="9" hidden="1">'0205443'!$B$2:$G$143</definedName>
    <definedName name="Z_7FA323DB_86D3_48A8_9453_C28D721B35AA_.wvu.PrintArea" localSheetId="15" hidden="1">'0205445'!$B$2:$G$143</definedName>
    <definedName name="Z_7FA323DB_86D3_48A8_9453_C28D721B35AA_.wvu.PrintArea" localSheetId="2" hidden="1">'SWERISOL Schedule Selector'!$B$2:$G$143</definedName>
    <definedName name="Z_90E79D85_6386_49B5_B347_A4ADD5B6BB70_.wvu.PrintArea" localSheetId="4" hidden="1">'0180281'!$B$2:$G$143</definedName>
    <definedName name="Z_90E79D85_6386_49B5_B347_A4ADD5B6BB70_.wvu.PrintArea" localSheetId="5" hidden="1">'0180282'!$B$2:$G$143</definedName>
    <definedName name="Z_90E79D85_6386_49B5_B347_A4ADD5B6BB70_.wvu.PrintArea" localSheetId="7" hidden="1">'0180283'!$B$2:$G$143</definedName>
    <definedName name="Z_90E79D85_6386_49B5_B347_A4ADD5B6BB70_.wvu.PrintArea" localSheetId="8" hidden="1">'0180284'!$B$2:$G$143</definedName>
    <definedName name="Z_90E79D85_6386_49B5_B347_A4ADD5B6BB70_.wvu.PrintArea" localSheetId="10" hidden="1">'0180285'!$B$2:$G$143</definedName>
    <definedName name="Z_90E79D85_6386_49B5_B347_A4ADD5B6BB70_.wvu.PrintArea" localSheetId="11" hidden="1">'0180286'!$B$2:$G$143</definedName>
    <definedName name="Z_90E79D85_6386_49B5_B347_A4ADD5B6BB70_.wvu.PrintArea" localSheetId="13" hidden="1">'0180287'!$B$2:$G$143</definedName>
    <definedName name="Z_90E79D85_6386_49B5_B347_A4ADD5B6BB70_.wvu.PrintArea" localSheetId="14" hidden="1">'0180288'!$B$2:$G$143</definedName>
    <definedName name="Z_90E79D85_6386_49B5_B347_A4ADD5B6BB70_.wvu.PrintArea" localSheetId="12" hidden="1">'0205439'!$B$2:$G$143</definedName>
    <definedName name="Z_90E79D85_6386_49B5_B347_A4ADD5B6BB70_.wvu.PrintArea" localSheetId="6" hidden="1">'0205441'!$B$2:$G$143</definedName>
    <definedName name="Z_90E79D85_6386_49B5_B347_A4ADD5B6BB70_.wvu.PrintArea" localSheetId="9" hidden="1">'0205443'!$B$2:$G$143</definedName>
    <definedName name="Z_90E79D85_6386_49B5_B347_A4ADD5B6BB70_.wvu.PrintArea" localSheetId="15" hidden="1">'0205445'!$B$2:$G$143</definedName>
    <definedName name="Z_90E79D85_6386_49B5_B347_A4ADD5B6BB70_.wvu.PrintArea" localSheetId="2" hidden="1">'SWERISOL Schedule Selector'!$B$2:$G$143</definedName>
    <definedName name="Z_92196F57_6D64_4CC3_B851_AC99F65472C8_.wvu.PrintArea" localSheetId="4" hidden="1">'0180281'!$B$2:$G$143</definedName>
    <definedName name="Z_92196F57_6D64_4CC3_B851_AC99F65472C8_.wvu.PrintArea" localSheetId="5" hidden="1">'0180282'!$B$2:$G$143</definedName>
    <definedName name="Z_92196F57_6D64_4CC3_B851_AC99F65472C8_.wvu.PrintArea" localSheetId="7" hidden="1">'0180283'!$B$2:$G$143</definedName>
    <definedName name="Z_92196F57_6D64_4CC3_B851_AC99F65472C8_.wvu.PrintArea" localSheetId="8" hidden="1">'0180284'!$B$2:$G$143</definedName>
    <definedName name="Z_92196F57_6D64_4CC3_B851_AC99F65472C8_.wvu.PrintArea" localSheetId="10" hidden="1">'0180285'!$B$2:$G$143</definedName>
    <definedName name="Z_92196F57_6D64_4CC3_B851_AC99F65472C8_.wvu.PrintArea" localSheetId="11" hidden="1">'0180286'!$B$2:$G$143</definedName>
    <definedName name="Z_92196F57_6D64_4CC3_B851_AC99F65472C8_.wvu.PrintArea" localSheetId="13" hidden="1">'0180287'!$B$2:$G$143</definedName>
    <definedName name="Z_92196F57_6D64_4CC3_B851_AC99F65472C8_.wvu.PrintArea" localSheetId="14" hidden="1">'0180288'!$B$2:$G$143</definedName>
    <definedName name="Z_92196F57_6D64_4CC3_B851_AC99F65472C8_.wvu.PrintArea" localSheetId="12" hidden="1">'0205439'!$B$2:$G$143</definedName>
    <definedName name="Z_92196F57_6D64_4CC3_B851_AC99F65472C8_.wvu.PrintArea" localSheetId="6" hidden="1">'0205441'!$B$2:$G$143</definedName>
    <definedName name="Z_92196F57_6D64_4CC3_B851_AC99F65472C8_.wvu.PrintArea" localSheetId="9" hidden="1">'0205443'!$B$2:$G$143</definedName>
    <definedName name="Z_92196F57_6D64_4CC3_B851_AC99F65472C8_.wvu.PrintArea" localSheetId="15" hidden="1">'0205445'!$B$2:$G$143</definedName>
    <definedName name="Z_92196F57_6D64_4CC3_B851_AC99F65472C8_.wvu.PrintArea" localSheetId="2" hidden="1">'SWERISOL Schedule Selector'!$B$2:$G$143</definedName>
    <definedName name="Z_97BDCDFB_5104_40FA_8A01_FF18139CF050_.wvu.PrintArea" localSheetId="4" hidden="1">'0180281'!$B$2:$G$143</definedName>
    <definedName name="Z_97BDCDFB_5104_40FA_8A01_FF18139CF050_.wvu.PrintArea" localSheetId="5" hidden="1">'0180282'!$B$2:$G$143</definedName>
    <definedName name="Z_97BDCDFB_5104_40FA_8A01_FF18139CF050_.wvu.PrintArea" localSheetId="7" hidden="1">'0180283'!$B$2:$G$143</definedName>
    <definedName name="Z_97BDCDFB_5104_40FA_8A01_FF18139CF050_.wvu.PrintArea" localSheetId="8" hidden="1">'0180284'!$B$2:$G$143</definedName>
    <definedName name="Z_97BDCDFB_5104_40FA_8A01_FF18139CF050_.wvu.PrintArea" localSheetId="10" hidden="1">'0180285'!$B$2:$G$143</definedName>
    <definedName name="Z_97BDCDFB_5104_40FA_8A01_FF18139CF050_.wvu.PrintArea" localSheetId="11" hidden="1">'0180286'!$B$2:$G$143</definedName>
    <definedName name="Z_97BDCDFB_5104_40FA_8A01_FF18139CF050_.wvu.PrintArea" localSheetId="13" hidden="1">'0180287'!$B$2:$G$143</definedName>
    <definedName name="Z_97BDCDFB_5104_40FA_8A01_FF18139CF050_.wvu.PrintArea" localSheetId="14" hidden="1">'0180288'!$B$2:$G$143</definedName>
    <definedName name="Z_97BDCDFB_5104_40FA_8A01_FF18139CF050_.wvu.PrintArea" localSheetId="12" hidden="1">'0205439'!$B$2:$G$143</definedName>
    <definedName name="Z_97BDCDFB_5104_40FA_8A01_FF18139CF050_.wvu.PrintArea" localSheetId="6" hidden="1">'0205441'!$B$2:$G$143</definedName>
    <definedName name="Z_97BDCDFB_5104_40FA_8A01_FF18139CF050_.wvu.PrintArea" localSheetId="9" hidden="1">'0205443'!$B$2:$G$143</definedName>
    <definedName name="Z_97BDCDFB_5104_40FA_8A01_FF18139CF050_.wvu.PrintArea" localSheetId="15" hidden="1">'0205445'!$B$2:$G$143</definedName>
    <definedName name="Z_97BDCDFB_5104_40FA_8A01_FF18139CF050_.wvu.PrintArea" localSheetId="2" hidden="1">'SWERISOL Schedule Selector'!$B$2:$G$143</definedName>
    <definedName name="Z_9E68D5A3_77A7_4D2D_A381_B42253733A21_.wvu.PrintArea" localSheetId="4" hidden="1">'0180281'!$B$2:$G$143</definedName>
    <definedName name="Z_9E68D5A3_77A7_4D2D_A381_B42253733A21_.wvu.PrintArea" localSheetId="5" hidden="1">'0180282'!$B$2:$G$143</definedName>
    <definedName name="Z_9E68D5A3_77A7_4D2D_A381_B42253733A21_.wvu.PrintArea" localSheetId="7" hidden="1">'0180283'!$B$2:$G$143</definedName>
    <definedName name="Z_9E68D5A3_77A7_4D2D_A381_B42253733A21_.wvu.PrintArea" localSheetId="8" hidden="1">'0180284'!$B$2:$G$143</definedName>
    <definedName name="Z_9E68D5A3_77A7_4D2D_A381_B42253733A21_.wvu.PrintArea" localSheetId="10" hidden="1">'0180285'!$B$2:$G$143</definedName>
    <definedName name="Z_9E68D5A3_77A7_4D2D_A381_B42253733A21_.wvu.PrintArea" localSheetId="11" hidden="1">'0180286'!$B$2:$G$143</definedName>
    <definedName name="Z_9E68D5A3_77A7_4D2D_A381_B42253733A21_.wvu.PrintArea" localSheetId="13" hidden="1">'0180287'!$B$2:$G$143</definedName>
    <definedName name="Z_9E68D5A3_77A7_4D2D_A381_B42253733A21_.wvu.PrintArea" localSheetId="14" hidden="1">'0180288'!$B$2:$G$143</definedName>
    <definedName name="Z_9E68D5A3_77A7_4D2D_A381_B42253733A21_.wvu.PrintArea" localSheetId="12" hidden="1">'0205439'!$B$2:$G$143</definedName>
    <definedName name="Z_9E68D5A3_77A7_4D2D_A381_B42253733A21_.wvu.PrintArea" localSheetId="6" hidden="1">'0205441'!$B$2:$G$143</definedName>
    <definedName name="Z_9E68D5A3_77A7_4D2D_A381_B42253733A21_.wvu.PrintArea" localSheetId="9" hidden="1">'0205443'!$B$2:$G$143</definedName>
    <definedName name="Z_9E68D5A3_77A7_4D2D_A381_B42253733A21_.wvu.PrintArea" localSheetId="15" hidden="1">'0205445'!$B$2:$G$143</definedName>
    <definedName name="Z_9E68D5A3_77A7_4D2D_A381_B42253733A21_.wvu.PrintArea" localSheetId="2" hidden="1">'SWERISOL Schedule Selector'!$B$2:$G$143</definedName>
    <definedName name="Z_A03AB8D3_A4F1_4FA2_8AC8_4059659716EC_.wvu.PrintArea" localSheetId="4" hidden="1">'0180281'!$B$2:$G$143</definedName>
    <definedName name="Z_A03AB8D3_A4F1_4FA2_8AC8_4059659716EC_.wvu.PrintArea" localSheetId="5" hidden="1">'0180282'!$B$2:$G$143</definedName>
    <definedName name="Z_A03AB8D3_A4F1_4FA2_8AC8_4059659716EC_.wvu.PrintArea" localSheetId="7" hidden="1">'0180283'!$B$2:$G$143</definedName>
    <definedName name="Z_A03AB8D3_A4F1_4FA2_8AC8_4059659716EC_.wvu.PrintArea" localSheetId="8" hidden="1">'0180284'!$B$2:$G$143</definedName>
    <definedName name="Z_A03AB8D3_A4F1_4FA2_8AC8_4059659716EC_.wvu.PrintArea" localSheetId="10" hidden="1">'0180285'!$B$2:$G$143</definedName>
    <definedName name="Z_A03AB8D3_A4F1_4FA2_8AC8_4059659716EC_.wvu.PrintArea" localSheetId="11" hidden="1">'0180286'!$B$2:$G$143</definedName>
    <definedName name="Z_A03AB8D3_A4F1_4FA2_8AC8_4059659716EC_.wvu.PrintArea" localSheetId="13" hidden="1">'0180287'!$B$2:$G$143</definedName>
    <definedName name="Z_A03AB8D3_A4F1_4FA2_8AC8_4059659716EC_.wvu.PrintArea" localSheetId="14" hidden="1">'0180288'!$B$2:$G$143</definedName>
    <definedName name="Z_A03AB8D3_A4F1_4FA2_8AC8_4059659716EC_.wvu.PrintArea" localSheetId="12" hidden="1">'0205439'!$B$2:$G$143</definedName>
    <definedName name="Z_A03AB8D3_A4F1_4FA2_8AC8_4059659716EC_.wvu.PrintArea" localSheetId="6" hidden="1">'0205441'!$B$2:$G$143</definedName>
    <definedName name="Z_A03AB8D3_A4F1_4FA2_8AC8_4059659716EC_.wvu.PrintArea" localSheetId="9" hidden="1">'0205443'!$B$2:$G$143</definedName>
    <definedName name="Z_A03AB8D3_A4F1_4FA2_8AC8_4059659716EC_.wvu.PrintArea" localSheetId="15" hidden="1">'0205445'!$B$2:$G$143</definedName>
    <definedName name="Z_A03AB8D3_A4F1_4FA2_8AC8_4059659716EC_.wvu.PrintArea" localSheetId="2" hidden="1">'SWERISOL Schedule Selector'!$B$2:$G$143</definedName>
    <definedName name="Z_A9B6A78F_3E2F_46B3_9BF3_AEAAB67001EB_.wvu.PrintArea" localSheetId="4" hidden="1">'0180281'!$B$2:$G$143</definedName>
    <definedName name="Z_A9B6A78F_3E2F_46B3_9BF3_AEAAB67001EB_.wvu.PrintArea" localSheetId="5" hidden="1">'0180282'!$B$2:$G$143</definedName>
    <definedName name="Z_A9B6A78F_3E2F_46B3_9BF3_AEAAB67001EB_.wvu.PrintArea" localSheetId="7" hidden="1">'0180283'!$B$2:$G$143</definedName>
    <definedName name="Z_A9B6A78F_3E2F_46B3_9BF3_AEAAB67001EB_.wvu.PrintArea" localSheetId="8" hidden="1">'0180284'!$B$2:$G$143</definedName>
    <definedName name="Z_A9B6A78F_3E2F_46B3_9BF3_AEAAB67001EB_.wvu.PrintArea" localSheetId="10" hidden="1">'0180285'!$B$2:$G$143</definedName>
    <definedName name="Z_A9B6A78F_3E2F_46B3_9BF3_AEAAB67001EB_.wvu.PrintArea" localSheetId="11" hidden="1">'0180286'!$B$2:$G$143</definedName>
    <definedName name="Z_A9B6A78F_3E2F_46B3_9BF3_AEAAB67001EB_.wvu.PrintArea" localSheetId="13" hidden="1">'0180287'!$B$2:$G$143</definedName>
    <definedName name="Z_A9B6A78F_3E2F_46B3_9BF3_AEAAB67001EB_.wvu.PrintArea" localSheetId="14" hidden="1">'0180288'!$B$2:$G$143</definedName>
    <definedName name="Z_A9B6A78F_3E2F_46B3_9BF3_AEAAB67001EB_.wvu.PrintArea" localSheetId="12" hidden="1">'0205439'!$B$2:$G$143</definedName>
    <definedName name="Z_A9B6A78F_3E2F_46B3_9BF3_AEAAB67001EB_.wvu.PrintArea" localSheetId="6" hidden="1">'0205441'!$B$2:$G$143</definedName>
    <definedName name="Z_A9B6A78F_3E2F_46B3_9BF3_AEAAB67001EB_.wvu.PrintArea" localSheetId="9" hidden="1">'0205443'!$B$2:$G$143</definedName>
    <definedName name="Z_A9B6A78F_3E2F_46B3_9BF3_AEAAB67001EB_.wvu.PrintArea" localSheetId="15" hidden="1">'0205445'!$B$2:$G$143</definedName>
    <definedName name="Z_A9B6A78F_3E2F_46B3_9BF3_AEAAB67001EB_.wvu.PrintArea" localSheetId="2" hidden="1">'SWERISOL Schedule Selector'!$B$2:$G$143</definedName>
    <definedName name="Z_B9063A62_D29B_48F4_A3B3_6CAFA6D6D8EA_.wvu.PrintArea" localSheetId="4" hidden="1">'0180281'!$B$2:$G$143</definedName>
    <definedName name="Z_B9063A62_D29B_48F4_A3B3_6CAFA6D6D8EA_.wvu.PrintArea" localSheetId="5" hidden="1">'0180282'!$B$2:$G$143</definedName>
    <definedName name="Z_B9063A62_D29B_48F4_A3B3_6CAFA6D6D8EA_.wvu.PrintArea" localSheetId="7" hidden="1">'0180283'!$B$2:$G$143</definedName>
    <definedName name="Z_B9063A62_D29B_48F4_A3B3_6CAFA6D6D8EA_.wvu.PrintArea" localSheetId="8" hidden="1">'0180284'!$B$2:$G$143</definedName>
    <definedName name="Z_B9063A62_D29B_48F4_A3B3_6CAFA6D6D8EA_.wvu.PrintArea" localSheetId="10" hidden="1">'0180285'!$B$2:$G$143</definedName>
    <definedName name="Z_B9063A62_D29B_48F4_A3B3_6CAFA6D6D8EA_.wvu.PrintArea" localSheetId="11" hidden="1">'0180286'!$B$2:$G$143</definedName>
    <definedName name="Z_B9063A62_D29B_48F4_A3B3_6CAFA6D6D8EA_.wvu.PrintArea" localSheetId="13" hidden="1">'0180287'!$B$2:$G$143</definedName>
    <definedName name="Z_B9063A62_D29B_48F4_A3B3_6CAFA6D6D8EA_.wvu.PrintArea" localSheetId="14" hidden="1">'0180288'!$B$2:$G$143</definedName>
    <definedName name="Z_B9063A62_D29B_48F4_A3B3_6CAFA6D6D8EA_.wvu.PrintArea" localSheetId="12" hidden="1">'0205439'!$B$2:$G$143</definedName>
    <definedName name="Z_B9063A62_D29B_48F4_A3B3_6CAFA6D6D8EA_.wvu.PrintArea" localSheetId="6" hidden="1">'0205441'!$B$2:$G$143</definedName>
    <definedName name="Z_B9063A62_D29B_48F4_A3B3_6CAFA6D6D8EA_.wvu.PrintArea" localSheetId="9" hidden="1">'0205443'!$B$2:$G$143</definedName>
    <definedName name="Z_B9063A62_D29B_48F4_A3B3_6CAFA6D6D8EA_.wvu.PrintArea" localSheetId="15" hidden="1">'0205445'!$B$2:$G$143</definedName>
    <definedName name="Z_B9063A62_D29B_48F4_A3B3_6CAFA6D6D8EA_.wvu.PrintArea" localSheetId="2" hidden="1">'SWERISOL Schedule Selector'!$B$2:$G$143</definedName>
    <definedName name="Z_C55A1F6B_D702_4F78_8482_FD76CDDC8509_.wvu.PrintArea" localSheetId="4" hidden="1">'0180281'!$B$2:$G$143</definedName>
    <definedName name="Z_C55A1F6B_D702_4F78_8482_FD76CDDC8509_.wvu.PrintArea" localSheetId="5" hidden="1">'0180282'!$B$2:$G$143</definedName>
    <definedName name="Z_C55A1F6B_D702_4F78_8482_FD76CDDC8509_.wvu.PrintArea" localSheetId="7" hidden="1">'0180283'!$B$2:$G$143</definedName>
    <definedName name="Z_C55A1F6B_D702_4F78_8482_FD76CDDC8509_.wvu.PrintArea" localSheetId="8" hidden="1">'0180284'!$B$2:$G$143</definedName>
    <definedName name="Z_C55A1F6B_D702_4F78_8482_FD76CDDC8509_.wvu.PrintArea" localSheetId="10" hidden="1">'0180285'!$B$2:$G$143</definedName>
    <definedName name="Z_C55A1F6B_D702_4F78_8482_FD76CDDC8509_.wvu.PrintArea" localSheetId="11" hidden="1">'0180286'!$B$2:$G$143</definedName>
    <definedName name="Z_C55A1F6B_D702_4F78_8482_FD76CDDC8509_.wvu.PrintArea" localSheetId="13" hidden="1">'0180287'!$B$2:$G$143</definedName>
    <definedName name="Z_C55A1F6B_D702_4F78_8482_FD76CDDC8509_.wvu.PrintArea" localSheetId="14" hidden="1">'0180288'!$B$2:$G$143</definedName>
    <definedName name="Z_C55A1F6B_D702_4F78_8482_FD76CDDC8509_.wvu.PrintArea" localSheetId="12" hidden="1">'0205439'!$B$2:$G$143</definedName>
    <definedName name="Z_C55A1F6B_D702_4F78_8482_FD76CDDC8509_.wvu.PrintArea" localSheetId="6" hidden="1">'0205441'!$B$2:$G$143</definedName>
    <definedName name="Z_C55A1F6B_D702_4F78_8482_FD76CDDC8509_.wvu.PrintArea" localSheetId="9" hidden="1">'0205443'!$B$2:$G$143</definedName>
    <definedName name="Z_C55A1F6B_D702_4F78_8482_FD76CDDC8509_.wvu.PrintArea" localSheetId="15" hidden="1">'0205445'!$B$2:$G$143</definedName>
    <definedName name="Z_C55A1F6B_D702_4F78_8482_FD76CDDC8509_.wvu.PrintArea" localSheetId="2" hidden="1">'SWERISOL Schedule Selector'!$B$2:$G$143</definedName>
    <definedName name="Z_CC25ED77_8561_4118_865C_02CCBBD6F7E5_.wvu.PrintArea" localSheetId="4" hidden="1">'0180281'!$B$2:$G$143</definedName>
    <definedName name="Z_CC25ED77_8561_4118_865C_02CCBBD6F7E5_.wvu.PrintArea" localSheetId="5" hidden="1">'0180282'!$B$2:$G$143</definedName>
    <definedName name="Z_CC25ED77_8561_4118_865C_02CCBBD6F7E5_.wvu.PrintArea" localSheetId="7" hidden="1">'0180283'!$B$2:$G$143</definedName>
    <definedName name="Z_CC25ED77_8561_4118_865C_02CCBBD6F7E5_.wvu.PrintArea" localSheetId="8" hidden="1">'0180284'!$B$2:$G$143</definedName>
    <definedName name="Z_CC25ED77_8561_4118_865C_02CCBBD6F7E5_.wvu.PrintArea" localSheetId="10" hidden="1">'0180285'!$B$2:$G$143</definedName>
    <definedName name="Z_CC25ED77_8561_4118_865C_02CCBBD6F7E5_.wvu.PrintArea" localSheetId="11" hidden="1">'0180286'!$B$2:$G$143</definedName>
    <definedName name="Z_CC25ED77_8561_4118_865C_02CCBBD6F7E5_.wvu.PrintArea" localSheetId="13" hidden="1">'0180287'!$B$2:$G$143</definedName>
    <definedName name="Z_CC25ED77_8561_4118_865C_02CCBBD6F7E5_.wvu.PrintArea" localSheetId="14" hidden="1">'0180288'!$B$2:$G$143</definedName>
    <definedName name="Z_CC25ED77_8561_4118_865C_02CCBBD6F7E5_.wvu.PrintArea" localSheetId="12" hidden="1">'0205439'!$B$2:$G$143</definedName>
    <definedName name="Z_CC25ED77_8561_4118_865C_02CCBBD6F7E5_.wvu.PrintArea" localSheetId="6" hidden="1">'0205441'!$B$2:$G$143</definedName>
    <definedName name="Z_CC25ED77_8561_4118_865C_02CCBBD6F7E5_.wvu.PrintArea" localSheetId="9" hidden="1">'0205443'!$B$2:$G$143</definedName>
    <definedName name="Z_CC25ED77_8561_4118_865C_02CCBBD6F7E5_.wvu.PrintArea" localSheetId="15" hidden="1">'0205445'!$B$2:$G$143</definedName>
    <definedName name="Z_CC25ED77_8561_4118_865C_02CCBBD6F7E5_.wvu.PrintArea" localSheetId="2" hidden="1">'SWERISOL Schedule Selector'!$B$2:$G$143</definedName>
    <definedName name="Z_D3E2A94B_1604_4517_A060_716B5EF4D6E1_.wvu.PrintArea" localSheetId="4" hidden="1">'0180281'!$B$2:$G$143</definedName>
    <definedName name="Z_D3E2A94B_1604_4517_A060_716B5EF4D6E1_.wvu.PrintArea" localSheetId="5" hidden="1">'0180282'!$B$2:$G$143</definedName>
    <definedName name="Z_D3E2A94B_1604_4517_A060_716B5EF4D6E1_.wvu.PrintArea" localSheetId="7" hidden="1">'0180283'!$B$2:$G$143</definedName>
    <definedName name="Z_D3E2A94B_1604_4517_A060_716B5EF4D6E1_.wvu.PrintArea" localSheetId="8" hidden="1">'0180284'!$B$2:$G$143</definedName>
    <definedName name="Z_D3E2A94B_1604_4517_A060_716B5EF4D6E1_.wvu.PrintArea" localSheetId="10" hidden="1">'0180285'!$B$2:$G$143</definedName>
    <definedName name="Z_D3E2A94B_1604_4517_A060_716B5EF4D6E1_.wvu.PrintArea" localSheetId="11" hidden="1">'0180286'!$B$2:$G$143</definedName>
    <definedName name="Z_D3E2A94B_1604_4517_A060_716B5EF4D6E1_.wvu.PrintArea" localSheetId="13" hidden="1">'0180287'!$B$2:$G$143</definedName>
    <definedName name="Z_D3E2A94B_1604_4517_A060_716B5EF4D6E1_.wvu.PrintArea" localSheetId="14" hidden="1">'0180288'!$B$2:$G$143</definedName>
    <definedName name="Z_D3E2A94B_1604_4517_A060_716B5EF4D6E1_.wvu.PrintArea" localSheetId="12" hidden="1">'0205439'!$B$2:$G$143</definedName>
    <definedName name="Z_D3E2A94B_1604_4517_A060_716B5EF4D6E1_.wvu.PrintArea" localSheetId="6" hidden="1">'0205441'!$B$2:$G$143</definedName>
    <definedName name="Z_D3E2A94B_1604_4517_A060_716B5EF4D6E1_.wvu.PrintArea" localSheetId="9" hidden="1">'0205443'!$B$2:$G$143</definedName>
    <definedName name="Z_D3E2A94B_1604_4517_A060_716B5EF4D6E1_.wvu.PrintArea" localSheetId="15" hidden="1">'0205445'!$B$2:$G$143</definedName>
    <definedName name="Z_D3E2A94B_1604_4517_A060_716B5EF4D6E1_.wvu.PrintArea" localSheetId="2" hidden="1">'SWERISOL Schedule Selector'!$B$2:$G$143</definedName>
    <definedName name="Z_D5714A68_473C_45CE_921C_00C34EEB4C96_.wvu.PrintArea" localSheetId="4" hidden="1">'0180281'!$B$2:$G$143</definedName>
    <definedName name="Z_D5714A68_473C_45CE_921C_00C34EEB4C96_.wvu.PrintArea" localSheetId="5" hidden="1">'0180282'!$B$2:$G$143</definedName>
    <definedName name="Z_D5714A68_473C_45CE_921C_00C34EEB4C96_.wvu.PrintArea" localSheetId="7" hidden="1">'0180283'!$B$2:$G$143</definedName>
    <definedName name="Z_D5714A68_473C_45CE_921C_00C34EEB4C96_.wvu.PrintArea" localSheetId="8" hidden="1">'0180284'!$B$2:$G$143</definedName>
    <definedName name="Z_D5714A68_473C_45CE_921C_00C34EEB4C96_.wvu.PrintArea" localSheetId="10" hidden="1">'0180285'!$B$2:$G$143</definedName>
    <definedName name="Z_D5714A68_473C_45CE_921C_00C34EEB4C96_.wvu.PrintArea" localSheetId="11" hidden="1">'0180286'!$B$2:$G$143</definedName>
    <definedName name="Z_D5714A68_473C_45CE_921C_00C34EEB4C96_.wvu.PrintArea" localSheetId="13" hidden="1">'0180287'!$B$2:$G$143</definedName>
    <definedName name="Z_D5714A68_473C_45CE_921C_00C34EEB4C96_.wvu.PrintArea" localSheetId="14" hidden="1">'0180288'!$B$2:$G$143</definedName>
    <definedName name="Z_D5714A68_473C_45CE_921C_00C34EEB4C96_.wvu.PrintArea" localSheetId="12" hidden="1">'0205439'!$B$2:$G$143</definedName>
    <definedName name="Z_D5714A68_473C_45CE_921C_00C34EEB4C96_.wvu.PrintArea" localSheetId="6" hidden="1">'0205441'!$B$2:$G$143</definedName>
    <definedName name="Z_D5714A68_473C_45CE_921C_00C34EEB4C96_.wvu.PrintArea" localSheetId="9" hidden="1">'0205443'!$B$2:$G$143</definedName>
    <definedName name="Z_D5714A68_473C_45CE_921C_00C34EEB4C96_.wvu.PrintArea" localSheetId="15" hidden="1">'0205445'!$B$2:$G$143</definedName>
    <definedName name="Z_D5714A68_473C_45CE_921C_00C34EEB4C96_.wvu.PrintArea" localSheetId="2" hidden="1">'SWERISOL Schedule Selector'!$B$2:$G$143</definedName>
    <definedName name="Z_D9A4A332_3651_4408_844B_7E7ECC5E5ADD_.wvu.PrintArea" localSheetId="4" hidden="1">'0180281'!$B$2:$G$143</definedName>
    <definedName name="Z_D9A4A332_3651_4408_844B_7E7ECC5E5ADD_.wvu.PrintArea" localSheetId="5" hidden="1">'0180282'!$B$2:$G$143</definedName>
    <definedName name="Z_D9A4A332_3651_4408_844B_7E7ECC5E5ADD_.wvu.PrintArea" localSheetId="7" hidden="1">'0180283'!$B$2:$G$143</definedName>
    <definedName name="Z_D9A4A332_3651_4408_844B_7E7ECC5E5ADD_.wvu.PrintArea" localSheetId="8" hidden="1">'0180284'!$B$2:$G$143</definedName>
    <definedName name="Z_D9A4A332_3651_4408_844B_7E7ECC5E5ADD_.wvu.PrintArea" localSheetId="10" hidden="1">'0180285'!$B$2:$G$143</definedName>
    <definedName name="Z_D9A4A332_3651_4408_844B_7E7ECC5E5ADD_.wvu.PrintArea" localSheetId="11" hidden="1">'0180286'!$B$2:$G$143</definedName>
    <definedName name="Z_D9A4A332_3651_4408_844B_7E7ECC5E5ADD_.wvu.PrintArea" localSheetId="13" hidden="1">'0180287'!$B$2:$G$143</definedName>
    <definedName name="Z_D9A4A332_3651_4408_844B_7E7ECC5E5ADD_.wvu.PrintArea" localSheetId="14" hidden="1">'0180288'!$B$2:$G$143</definedName>
    <definedName name="Z_D9A4A332_3651_4408_844B_7E7ECC5E5ADD_.wvu.PrintArea" localSheetId="12" hidden="1">'0205439'!$B$2:$G$143</definedName>
    <definedName name="Z_D9A4A332_3651_4408_844B_7E7ECC5E5ADD_.wvu.PrintArea" localSheetId="6" hidden="1">'0205441'!$B$2:$G$143</definedName>
    <definedName name="Z_D9A4A332_3651_4408_844B_7E7ECC5E5ADD_.wvu.PrintArea" localSheetId="9" hidden="1">'0205443'!$B$2:$G$143</definedName>
    <definedName name="Z_D9A4A332_3651_4408_844B_7E7ECC5E5ADD_.wvu.PrintArea" localSheetId="15" hidden="1">'0205445'!$B$2:$G$143</definedName>
    <definedName name="Z_D9A4A332_3651_4408_844B_7E7ECC5E5ADD_.wvu.PrintArea" localSheetId="2" hidden="1">'SWERISOL Schedule Selector'!$B$2:$G$143</definedName>
    <definedName name="Z_DFD10E9B_2E32_4A05_89FC_03F713864978_.wvu.PrintArea" localSheetId="4" hidden="1">'0180281'!$B$2:$G$143</definedName>
    <definedName name="Z_DFD10E9B_2E32_4A05_89FC_03F713864978_.wvu.PrintArea" localSheetId="5" hidden="1">'0180282'!$B$2:$G$143</definedName>
    <definedName name="Z_DFD10E9B_2E32_4A05_89FC_03F713864978_.wvu.PrintArea" localSheetId="7" hidden="1">'0180283'!$B$2:$G$143</definedName>
    <definedName name="Z_DFD10E9B_2E32_4A05_89FC_03F713864978_.wvu.PrintArea" localSheetId="8" hidden="1">'0180284'!$B$2:$G$143</definedName>
    <definedName name="Z_DFD10E9B_2E32_4A05_89FC_03F713864978_.wvu.PrintArea" localSheetId="10" hidden="1">'0180285'!$B$2:$G$143</definedName>
    <definedName name="Z_DFD10E9B_2E32_4A05_89FC_03F713864978_.wvu.PrintArea" localSheetId="11" hidden="1">'0180286'!$B$2:$G$143</definedName>
    <definedName name="Z_DFD10E9B_2E32_4A05_89FC_03F713864978_.wvu.PrintArea" localSheetId="13" hidden="1">'0180287'!$B$2:$G$143</definedName>
    <definedName name="Z_DFD10E9B_2E32_4A05_89FC_03F713864978_.wvu.PrintArea" localSheetId="14" hidden="1">'0180288'!$B$2:$G$143</definedName>
    <definedName name="Z_DFD10E9B_2E32_4A05_89FC_03F713864978_.wvu.PrintArea" localSheetId="12" hidden="1">'0205439'!$B$2:$G$143</definedName>
    <definedName name="Z_DFD10E9B_2E32_4A05_89FC_03F713864978_.wvu.PrintArea" localSheetId="6" hidden="1">'0205441'!$B$2:$G$143</definedName>
    <definedName name="Z_DFD10E9B_2E32_4A05_89FC_03F713864978_.wvu.PrintArea" localSheetId="9" hidden="1">'0205443'!$B$2:$G$143</definedName>
    <definedName name="Z_DFD10E9B_2E32_4A05_89FC_03F713864978_.wvu.PrintArea" localSheetId="15" hidden="1">'0205445'!$B$2:$G$143</definedName>
    <definedName name="Z_DFD10E9B_2E32_4A05_89FC_03F713864978_.wvu.PrintArea" localSheetId="2" hidden="1">'SWERISOL Schedule Selector'!$B$2:$G$143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3" i="30" l="1"/>
  <c r="F142" i="30"/>
  <c r="F141" i="30"/>
  <c r="F140" i="30"/>
  <c r="F139" i="30"/>
  <c r="F138" i="30"/>
  <c r="F135" i="30"/>
  <c r="F134" i="30"/>
  <c r="F133" i="30"/>
  <c r="F132" i="30"/>
  <c r="F131" i="30"/>
  <c r="F129" i="30"/>
  <c r="F128" i="30"/>
  <c r="F127" i="30"/>
  <c r="F126" i="30"/>
  <c r="F125" i="30"/>
  <c r="F123" i="30"/>
  <c r="F122" i="30"/>
  <c r="F120" i="30"/>
  <c r="F119" i="30"/>
  <c r="F118" i="30"/>
  <c r="F117" i="30"/>
  <c r="F116" i="30"/>
  <c r="F115" i="30"/>
  <c r="F113" i="30"/>
  <c r="F112" i="30"/>
  <c r="F111" i="30"/>
  <c r="F110" i="30"/>
  <c r="F109" i="30"/>
  <c r="F108" i="30"/>
  <c r="F107" i="30"/>
  <c r="F106" i="30"/>
  <c r="F105" i="30"/>
  <c r="F104" i="30"/>
  <c r="F102" i="30"/>
  <c r="F101" i="30"/>
  <c r="F100" i="30"/>
  <c r="F99" i="30"/>
  <c r="F98" i="30"/>
  <c r="F97" i="30"/>
  <c r="F96" i="30"/>
  <c r="F94" i="30"/>
  <c r="F93" i="30"/>
  <c r="F91" i="30"/>
  <c r="F90" i="30"/>
  <c r="F89" i="30"/>
  <c r="F88" i="30"/>
  <c r="F86" i="30"/>
  <c r="F85" i="30"/>
  <c r="F83" i="30"/>
  <c r="F82" i="30"/>
  <c r="F80" i="30"/>
  <c r="F78" i="30"/>
  <c r="F77" i="30"/>
  <c r="F72" i="30"/>
  <c r="F71" i="30"/>
  <c r="F70" i="30"/>
  <c r="F68" i="30"/>
  <c r="F67" i="30"/>
  <c r="F66" i="30"/>
  <c r="F65" i="30"/>
  <c r="F63" i="30"/>
  <c r="F62" i="30"/>
  <c r="F61" i="30"/>
  <c r="F60" i="30"/>
  <c r="F59" i="30"/>
  <c r="F58" i="30"/>
  <c r="F57" i="30"/>
  <c r="F55" i="30"/>
  <c r="F54" i="30"/>
  <c r="F53" i="30"/>
  <c r="F52" i="30"/>
  <c r="F51" i="30"/>
  <c r="F50" i="30"/>
  <c r="F49" i="30"/>
  <c r="F47" i="30"/>
  <c r="F45" i="30"/>
  <c r="F44" i="30"/>
  <c r="F43" i="30"/>
  <c r="F42" i="30"/>
  <c r="F40" i="30"/>
  <c r="F39" i="30"/>
  <c r="F38" i="30"/>
  <c r="F37" i="30"/>
  <c r="F36" i="30"/>
  <c r="F35" i="30"/>
  <c r="F34" i="30"/>
  <c r="F33" i="30"/>
  <c r="F31" i="30"/>
  <c r="F30" i="30"/>
  <c r="F29" i="30"/>
  <c r="F28" i="30"/>
  <c r="F27" i="30"/>
  <c r="F25" i="30"/>
  <c r="F24" i="30"/>
  <c r="F23" i="30"/>
  <c r="F22" i="30"/>
  <c r="F21" i="30"/>
  <c r="F20" i="30"/>
  <c r="F18" i="30"/>
  <c r="F17" i="30"/>
  <c r="F16" i="30"/>
  <c r="F15" i="30"/>
  <c r="F14" i="30"/>
  <c r="F13" i="30"/>
  <c r="F4" i="30"/>
  <c r="F143" i="29"/>
  <c r="F142" i="29"/>
  <c r="F141" i="29"/>
  <c r="F140" i="29"/>
  <c r="F139" i="29"/>
  <c r="F138" i="29"/>
  <c r="F135" i="29"/>
  <c r="F134" i="29"/>
  <c r="F133" i="29"/>
  <c r="F132" i="29"/>
  <c r="F131" i="29"/>
  <c r="F129" i="29"/>
  <c r="F128" i="29"/>
  <c r="F127" i="29"/>
  <c r="F126" i="29"/>
  <c r="F125" i="29"/>
  <c r="F123" i="29"/>
  <c r="F122" i="29"/>
  <c r="F120" i="29"/>
  <c r="F119" i="29"/>
  <c r="F118" i="29"/>
  <c r="F117" i="29"/>
  <c r="F116" i="29"/>
  <c r="F115" i="29"/>
  <c r="F113" i="29"/>
  <c r="F112" i="29"/>
  <c r="F111" i="29"/>
  <c r="F110" i="29"/>
  <c r="F109" i="29"/>
  <c r="F108" i="29"/>
  <c r="F107" i="29"/>
  <c r="F106" i="29"/>
  <c r="F105" i="29"/>
  <c r="F104" i="29"/>
  <c r="F102" i="29"/>
  <c r="F101" i="29"/>
  <c r="F100" i="29"/>
  <c r="F99" i="29"/>
  <c r="F98" i="29"/>
  <c r="F97" i="29"/>
  <c r="F96" i="29"/>
  <c r="F94" i="29"/>
  <c r="F93" i="29"/>
  <c r="F91" i="29"/>
  <c r="F90" i="29"/>
  <c r="F89" i="29"/>
  <c r="F88" i="29"/>
  <c r="F86" i="29"/>
  <c r="F85" i="29"/>
  <c r="F83" i="29"/>
  <c r="F82" i="29"/>
  <c r="F80" i="29"/>
  <c r="F78" i="29"/>
  <c r="F77" i="29"/>
  <c r="F72" i="29"/>
  <c r="F71" i="29"/>
  <c r="F70" i="29"/>
  <c r="F68" i="29"/>
  <c r="F67" i="29"/>
  <c r="F66" i="29"/>
  <c r="F65" i="29"/>
  <c r="F63" i="29"/>
  <c r="F62" i="29"/>
  <c r="F61" i="29"/>
  <c r="F60" i="29"/>
  <c r="F59" i="29"/>
  <c r="F58" i="29"/>
  <c r="F57" i="29"/>
  <c r="F55" i="29"/>
  <c r="F54" i="29"/>
  <c r="F53" i="29"/>
  <c r="F52" i="29"/>
  <c r="F51" i="29"/>
  <c r="F50" i="29"/>
  <c r="F49" i="29"/>
  <c r="F47" i="29"/>
  <c r="F45" i="29"/>
  <c r="F44" i="29"/>
  <c r="F43" i="29"/>
  <c r="F42" i="29"/>
  <c r="F40" i="29"/>
  <c r="F39" i="29"/>
  <c r="F38" i="29"/>
  <c r="F37" i="29"/>
  <c r="F36" i="29"/>
  <c r="F35" i="29"/>
  <c r="F34" i="29"/>
  <c r="F33" i="29"/>
  <c r="F31" i="29"/>
  <c r="F30" i="29"/>
  <c r="F29" i="29"/>
  <c r="F28" i="29"/>
  <c r="F27" i="29"/>
  <c r="F25" i="29"/>
  <c r="F24" i="29"/>
  <c r="F23" i="29"/>
  <c r="F22" i="29"/>
  <c r="F21" i="29"/>
  <c r="F20" i="29"/>
  <c r="F18" i="29"/>
  <c r="F17" i="29"/>
  <c r="F16" i="29"/>
  <c r="F15" i="29"/>
  <c r="F14" i="29"/>
  <c r="F13" i="29"/>
  <c r="F4" i="29"/>
  <c r="F143" i="28"/>
  <c r="F142" i="28"/>
  <c r="F141" i="28"/>
  <c r="F140" i="28"/>
  <c r="F139" i="28"/>
  <c r="F138" i="28"/>
  <c r="F135" i="28"/>
  <c r="F134" i="28"/>
  <c r="F133" i="28"/>
  <c r="F132" i="28"/>
  <c r="F131" i="28"/>
  <c r="F129" i="28"/>
  <c r="F128" i="28"/>
  <c r="F127" i="28"/>
  <c r="F126" i="28"/>
  <c r="F125" i="28"/>
  <c r="F123" i="28"/>
  <c r="F122" i="28"/>
  <c r="F120" i="28"/>
  <c r="F119" i="28"/>
  <c r="F118" i="28"/>
  <c r="F117" i="28"/>
  <c r="F116" i="28"/>
  <c r="F115" i="28"/>
  <c r="F113" i="28"/>
  <c r="F112" i="28"/>
  <c r="F111" i="28"/>
  <c r="F110" i="28"/>
  <c r="F109" i="28"/>
  <c r="F108" i="28"/>
  <c r="F107" i="28"/>
  <c r="F106" i="28"/>
  <c r="F105" i="28"/>
  <c r="F104" i="28"/>
  <c r="F102" i="28"/>
  <c r="F101" i="28"/>
  <c r="F100" i="28"/>
  <c r="F99" i="28"/>
  <c r="F98" i="28"/>
  <c r="F97" i="28"/>
  <c r="F96" i="28"/>
  <c r="F94" i="28"/>
  <c r="F93" i="28"/>
  <c r="F91" i="28"/>
  <c r="F90" i="28"/>
  <c r="F89" i="28"/>
  <c r="F88" i="28"/>
  <c r="F86" i="28"/>
  <c r="F85" i="28"/>
  <c r="F83" i="28"/>
  <c r="F82" i="28"/>
  <c r="F80" i="28"/>
  <c r="F78" i="28"/>
  <c r="F77" i="28"/>
  <c r="F72" i="28"/>
  <c r="F71" i="28"/>
  <c r="F70" i="28"/>
  <c r="F68" i="28"/>
  <c r="F67" i="28"/>
  <c r="F66" i="28"/>
  <c r="F65" i="28"/>
  <c r="F63" i="28"/>
  <c r="F62" i="28"/>
  <c r="F61" i="28"/>
  <c r="F60" i="28"/>
  <c r="F59" i="28"/>
  <c r="F58" i="28"/>
  <c r="F57" i="28"/>
  <c r="F55" i="28"/>
  <c r="F54" i="28"/>
  <c r="F53" i="28"/>
  <c r="F52" i="28"/>
  <c r="F51" i="28"/>
  <c r="F50" i="28"/>
  <c r="F49" i="28"/>
  <c r="F47" i="28"/>
  <c r="F45" i="28"/>
  <c r="F44" i="28"/>
  <c r="F43" i="28"/>
  <c r="F42" i="28"/>
  <c r="F40" i="28"/>
  <c r="F39" i="28"/>
  <c r="F38" i="28"/>
  <c r="F37" i="28"/>
  <c r="F36" i="28"/>
  <c r="F35" i="28"/>
  <c r="F34" i="28"/>
  <c r="F33" i="28"/>
  <c r="F31" i="28"/>
  <c r="F30" i="28"/>
  <c r="F29" i="28"/>
  <c r="F28" i="28"/>
  <c r="F27" i="28"/>
  <c r="F25" i="28"/>
  <c r="F24" i="28"/>
  <c r="F23" i="28"/>
  <c r="F22" i="28"/>
  <c r="F21" i="28"/>
  <c r="F20" i="28"/>
  <c r="F18" i="28"/>
  <c r="F17" i="28"/>
  <c r="F16" i="28"/>
  <c r="F15" i="28"/>
  <c r="F14" i="28"/>
  <c r="F13" i="28"/>
  <c r="F4" i="28"/>
  <c r="F143" i="27"/>
  <c r="F142" i="27"/>
  <c r="F141" i="27"/>
  <c r="F140" i="27"/>
  <c r="F139" i="27"/>
  <c r="F138" i="27"/>
  <c r="F135" i="27"/>
  <c r="F134" i="27"/>
  <c r="F133" i="27"/>
  <c r="F132" i="27"/>
  <c r="F131" i="27"/>
  <c r="F129" i="27"/>
  <c r="F128" i="27"/>
  <c r="F127" i="27"/>
  <c r="F126" i="27"/>
  <c r="F125" i="27"/>
  <c r="F123" i="27"/>
  <c r="F122" i="27"/>
  <c r="F120" i="27"/>
  <c r="F119" i="27"/>
  <c r="F118" i="27"/>
  <c r="F117" i="27"/>
  <c r="F116" i="27"/>
  <c r="F115" i="27"/>
  <c r="F113" i="27"/>
  <c r="F112" i="27"/>
  <c r="F111" i="27"/>
  <c r="F110" i="27"/>
  <c r="F109" i="27"/>
  <c r="F108" i="27"/>
  <c r="F107" i="27"/>
  <c r="F106" i="27"/>
  <c r="F105" i="27"/>
  <c r="F104" i="27"/>
  <c r="F102" i="27"/>
  <c r="F101" i="27"/>
  <c r="F100" i="27"/>
  <c r="F99" i="27"/>
  <c r="F98" i="27"/>
  <c r="F97" i="27"/>
  <c r="F96" i="27"/>
  <c r="F94" i="27"/>
  <c r="F93" i="27"/>
  <c r="F91" i="27"/>
  <c r="F90" i="27"/>
  <c r="F89" i="27"/>
  <c r="F88" i="27"/>
  <c r="F86" i="27"/>
  <c r="F85" i="27"/>
  <c r="F83" i="27"/>
  <c r="F82" i="27"/>
  <c r="F80" i="27"/>
  <c r="F78" i="27"/>
  <c r="F77" i="27"/>
  <c r="F75" i="27"/>
  <c r="F74" i="27"/>
  <c r="F73" i="27"/>
  <c r="F72" i="27"/>
  <c r="F71" i="27"/>
  <c r="F70" i="27"/>
  <c r="F68" i="27"/>
  <c r="F67" i="27"/>
  <c r="F66" i="27"/>
  <c r="F65" i="27"/>
  <c r="F63" i="27"/>
  <c r="F62" i="27"/>
  <c r="F61" i="27"/>
  <c r="F60" i="27"/>
  <c r="F59" i="27"/>
  <c r="F58" i="27"/>
  <c r="F57" i="27"/>
  <c r="F55" i="27"/>
  <c r="F54" i="27"/>
  <c r="F53" i="27"/>
  <c r="F52" i="27"/>
  <c r="F51" i="27"/>
  <c r="F50" i="27"/>
  <c r="F49" i="27"/>
  <c r="F47" i="27"/>
  <c r="F45" i="27"/>
  <c r="F44" i="27"/>
  <c r="F43" i="27"/>
  <c r="F42" i="27"/>
  <c r="F40" i="27"/>
  <c r="F39" i="27"/>
  <c r="F38" i="27"/>
  <c r="F37" i="27"/>
  <c r="F36" i="27"/>
  <c r="F35" i="27"/>
  <c r="F34" i="27"/>
  <c r="F33" i="27"/>
  <c r="F31" i="27"/>
  <c r="F30" i="27"/>
  <c r="F29" i="27"/>
  <c r="F28" i="27"/>
  <c r="F27" i="27"/>
  <c r="F25" i="27"/>
  <c r="F24" i="27"/>
  <c r="F23" i="27"/>
  <c r="F22" i="27"/>
  <c r="F21" i="27"/>
  <c r="F20" i="27"/>
  <c r="F18" i="27"/>
  <c r="F17" i="27"/>
  <c r="F16" i="27"/>
  <c r="F15" i="27"/>
  <c r="F14" i="27"/>
  <c r="F13" i="27"/>
  <c r="F4" i="27"/>
  <c r="F143" i="26"/>
  <c r="F142" i="26"/>
  <c r="F141" i="26"/>
  <c r="F140" i="26"/>
  <c r="F139" i="26"/>
  <c r="F138" i="26"/>
  <c r="F135" i="26"/>
  <c r="F134" i="26"/>
  <c r="F133" i="26"/>
  <c r="F132" i="26"/>
  <c r="F131" i="26"/>
  <c r="F129" i="26"/>
  <c r="F128" i="26"/>
  <c r="F127" i="26"/>
  <c r="F126" i="26"/>
  <c r="F125" i="26"/>
  <c r="F123" i="26"/>
  <c r="F122" i="26"/>
  <c r="F120" i="26"/>
  <c r="F119" i="26"/>
  <c r="F118" i="26"/>
  <c r="F117" i="26"/>
  <c r="F116" i="26"/>
  <c r="F115" i="26"/>
  <c r="F113" i="26"/>
  <c r="F112" i="26"/>
  <c r="F111" i="26"/>
  <c r="F110" i="26"/>
  <c r="F109" i="26"/>
  <c r="F108" i="26"/>
  <c r="F107" i="26"/>
  <c r="F106" i="26"/>
  <c r="F105" i="26"/>
  <c r="F104" i="26"/>
  <c r="F102" i="26"/>
  <c r="F101" i="26"/>
  <c r="F100" i="26"/>
  <c r="F99" i="26"/>
  <c r="F98" i="26"/>
  <c r="F97" i="26"/>
  <c r="F96" i="26"/>
  <c r="F94" i="26"/>
  <c r="F93" i="26"/>
  <c r="F91" i="26"/>
  <c r="F90" i="26"/>
  <c r="F89" i="26"/>
  <c r="F88" i="26"/>
  <c r="F86" i="26"/>
  <c r="F85" i="26"/>
  <c r="F83" i="26"/>
  <c r="F82" i="26"/>
  <c r="F80" i="26"/>
  <c r="F78" i="26"/>
  <c r="F77" i="26"/>
  <c r="F75" i="26"/>
  <c r="F74" i="26"/>
  <c r="F73" i="26"/>
  <c r="F72" i="26"/>
  <c r="F71" i="26"/>
  <c r="F70" i="26"/>
  <c r="F68" i="26"/>
  <c r="F67" i="26"/>
  <c r="F66" i="26"/>
  <c r="F65" i="26"/>
  <c r="F63" i="26"/>
  <c r="F62" i="26"/>
  <c r="F61" i="26"/>
  <c r="F60" i="26"/>
  <c r="F59" i="26"/>
  <c r="F58" i="26"/>
  <c r="F57" i="26"/>
  <c r="F55" i="26"/>
  <c r="F54" i="26"/>
  <c r="F53" i="26"/>
  <c r="F52" i="26"/>
  <c r="F51" i="26"/>
  <c r="F50" i="26"/>
  <c r="F49" i="26"/>
  <c r="F47" i="26"/>
  <c r="F45" i="26"/>
  <c r="F44" i="26"/>
  <c r="F43" i="26"/>
  <c r="F42" i="26"/>
  <c r="F40" i="26"/>
  <c r="F39" i="26"/>
  <c r="F38" i="26"/>
  <c r="F37" i="26"/>
  <c r="F36" i="26"/>
  <c r="F35" i="26"/>
  <c r="F34" i="26"/>
  <c r="F33" i="26"/>
  <c r="F31" i="26"/>
  <c r="F30" i="26"/>
  <c r="F29" i="26"/>
  <c r="F28" i="26"/>
  <c r="F27" i="26"/>
  <c r="F25" i="26"/>
  <c r="F24" i="26"/>
  <c r="F23" i="26"/>
  <c r="F22" i="26"/>
  <c r="F21" i="26"/>
  <c r="F20" i="26"/>
  <c r="F18" i="26"/>
  <c r="F17" i="26"/>
  <c r="F16" i="26"/>
  <c r="F15" i="26"/>
  <c r="F14" i="26"/>
  <c r="F13" i="26"/>
  <c r="F4" i="26"/>
  <c r="F143" i="25"/>
  <c r="F142" i="25"/>
  <c r="F141" i="25"/>
  <c r="F140" i="25"/>
  <c r="F139" i="25"/>
  <c r="F138" i="25"/>
  <c r="F135" i="25"/>
  <c r="F134" i="25"/>
  <c r="F133" i="25"/>
  <c r="F132" i="25"/>
  <c r="F131" i="25"/>
  <c r="F129" i="25"/>
  <c r="F128" i="25"/>
  <c r="F127" i="25"/>
  <c r="F126" i="25"/>
  <c r="F125" i="25"/>
  <c r="F123" i="25"/>
  <c r="F122" i="25"/>
  <c r="F120" i="25"/>
  <c r="F119" i="25"/>
  <c r="F118" i="25"/>
  <c r="F117" i="25"/>
  <c r="F116" i="25"/>
  <c r="F115" i="25"/>
  <c r="F113" i="25"/>
  <c r="F112" i="25"/>
  <c r="F111" i="25"/>
  <c r="F110" i="25"/>
  <c r="F109" i="25"/>
  <c r="F108" i="25"/>
  <c r="F107" i="25"/>
  <c r="F106" i="25"/>
  <c r="F105" i="25"/>
  <c r="F104" i="25"/>
  <c r="F102" i="25"/>
  <c r="F101" i="25"/>
  <c r="F100" i="25"/>
  <c r="F99" i="25"/>
  <c r="F98" i="25"/>
  <c r="F97" i="25"/>
  <c r="F96" i="25"/>
  <c r="F94" i="25"/>
  <c r="F93" i="25"/>
  <c r="F91" i="25"/>
  <c r="F90" i="25"/>
  <c r="F89" i="25"/>
  <c r="F88" i="25"/>
  <c r="F86" i="25"/>
  <c r="F85" i="25"/>
  <c r="F83" i="25"/>
  <c r="F82" i="25"/>
  <c r="F80" i="25"/>
  <c r="F78" i="25"/>
  <c r="F77" i="25"/>
  <c r="F75" i="25"/>
  <c r="F74" i="25"/>
  <c r="F73" i="25"/>
  <c r="F72" i="25"/>
  <c r="F71" i="25"/>
  <c r="F70" i="25"/>
  <c r="F68" i="25"/>
  <c r="F67" i="25"/>
  <c r="F66" i="25"/>
  <c r="F65" i="25"/>
  <c r="F63" i="25"/>
  <c r="F62" i="25"/>
  <c r="F61" i="25"/>
  <c r="F60" i="25"/>
  <c r="F59" i="25"/>
  <c r="F58" i="25"/>
  <c r="F57" i="25"/>
  <c r="F55" i="25"/>
  <c r="F54" i="25"/>
  <c r="F53" i="25"/>
  <c r="F52" i="25"/>
  <c r="F51" i="25"/>
  <c r="F50" i="25"/>
  <c r="F49" i="25"/>
  <c r="F47" i="25"/>
  <c r="F45" i="25"/>
  <c r="F44" i="25"/>
  <c r="F43" i="25"/>
  <c r="F42" i="25"/>
  <c r="F40" i="25"/>
  <c r="F39" i="25"/>
  <c r="F38" i="25"/>
  <c r="F37" i="25"/>
  <c r="F36" i="25"/>
  <c r="F35" i="25"/>
  <c r="F34" i="25"/>
  <c r="F33" i="25"/>
  <c r="F31" i="25"/>
  <c r="F30" i="25"/>
  <c r="F29" i="25"/>
  <c r="F28" i="25"/>
  <c r="F27" i="25"/>
  <c r="F25" i="25"/>
  <c r="F24" i="25"/>
  <c r="F23" i="25"/>
  <c r="F22" i="25"/>
  <c r="F21" i="25"/>
  <c r="F20" i="25"/>
  <c r="F18" i="25"/>
  <c r="F17" i="25"/>
  <c r="F16" i="25"/>
  <c r="F15" i="25"/>
  <c r="F14" i="25"/>
  <c r="F13" i="25"/>
  <c r="F4" i="25"/>
  <c r="F143" i="24"/>
  <c r="F142" i="24"/>
  <c r="F141" i="24"/>
  <c r="F140" i="24"/>
  <c r="F139" i="24"/>
  <c r="F138" i="24"/>
  <c r="F135" i="24"/>
  <c r="F134" i="24"/>
  <c r="F133" i="24"/>
  <c r="F132" i="24"/>
  <c r="F131" i="24"/>
  <c r="F129" i="24"/>
  <c r="F128" i="24"/>
  <c r="F127" i="24"/>
  <c r="F126" i="24"/>
  <c r="F125" i="24"/>
  <c r="F123" i="24"/>
  <c r="F122" i="24"/>
  <c r="F120" i="24"/>
  <c r="F119" i="24"/>
  <c r="F118" i="24"/>
  <c r="F117" i="24"/>
  <c r="F116" i="24"/>
  <c r="F115" i="24"/>
  <c r="F113" i="24"/>
  <c r="F112" i="24"/>
  <c r="F111" i="24"/>
  <c r="F110" i="24"/>
  <c r="F109" i="24"/>
  <c r="F108" i="24"/>
  <c r="F107" i="24"/>
  <c r="F106" i="24"/>
  <c r="F105" i="24"/>
  <c r="F104" i="24"/>
  <c r="F102" i="24"/>
  <c r="F101" i="24"/>
  <c r="F100" i="24"/>
  <c r="F99" i="24"/>
  <c r="F98" i="24"/>
  <c r="F97" i="24"/>
  <c r="F96" i="24"/>
  <c r="F94" i="24"/>
  <c r="F93" i="24"/>
  <c r="F91" i="24"/>
  <c r="F90" i="24"/>
  <c r="F89" i="24"/>
  <c r="F88" i="24"/>
  <c r="F86" i="24"/>
  <c r="F85" i="24"/>
  <c r="F83" i="24"/>
  <c r="F82" i="24"/>
  <c r="F80" i="24"/>
  <c r="F78" i="24"/>
  <c r="F77" i="24"/>
  <c r="F75" i="24"/>
  <c r="F74" i="24"/>
  <c r="F73" i="24"/>
  <c r="F72" i="24"/>
  <c r="F71" i="24"/>
  <c r="F70" i="24"/>
  <c r="F68" i="24"/>
  <c r="F67" i="24"/>
  <c r="F66" i="24"/>
  <c r="F65" i="24"/>
  <c r="F63" i="24"/>
  <c r="F62" i="24"/>
  <c r="F61" i="24"/>
  <c r="F60" i="24"/>
  <c r="F59" i="24"/>
  <c r="F58" i="24"/>
  <c r="F57" i="24"/>
  <c r="F55" i="24"/>
  <c r="F54" i="24"/>
  <c r="F53" i="24"/>
  <c r="F52" i="24"/>
  <c r="F51" i="24"/>
  <c r="F50" i="24"/>
  <c r="F49" i="24"/>
  <c r="F47" i="24"/>
  <c r="F45" i="24"/>
  <c r="F44" i="24"/>
  <c r="F43" i="24"/>
  <c r="F42" i="24"/>
  <c r="F40" i="24"/>
  <c r="F39" i="24"/>
  <c r="F38" i="24"/>
  <c r="F37" i="24"/>
  <c r="F36" i="24"/>
  <c r="F35" i="24"/>
  <c r="F34" i="24"/>
  <c r="F33" i="24"/>
  <c r="F31" i="24"/>
  <c r="F30" i="24"/>
  <c r="F29" i="24"/>
  <c r="F28" i="24"/>
  <c r="F27" i="24"/>
  <c r="F25" i="24"/>
  <c r="F24" i="24"/>
  <c r="F23" i="24"/>
  <c r="F22" i="24"/>
  <c r="F21" i="24"/>
  <c r="F20" i="24"/>
  <c r="F18" i="24"/>
  <c r="F17" i="24"/>
  <c r="F16" i="24"/>
  <c r="F15" i="24"/>
  <c r="F14" i="24"/>
  <c r="F13" i="24"/>
  <c r="F4" i="24"/>
  <c r="F143" i="23"/>
  <c r="F142" i="23"/>
  <c r="F141" i="23"/>
  <c r="F140" i="23"/>
  <c r="F139" i="23"/>
  <c r="F138" i="23"/>
  <c r="F135" i="23"/>
  <c r="F134" i="23"/>
  <c r="F133" i="23"/>
  <c r="F132" i="23"/>
  <c r="F131" i="23"/>
  <c r="F129" i="23"/>
  <c r="F128" i="23"/>
  <c r="F127" i="23"/>
  <c r="F126" i="23"/>
  <c r="F125" i="23"/>
  <c r="F123" i="23"/>
  <c r="F122" i="23"/>
  <c r="F120" i="23"/>
  <c r="F119" i="23"/>
  <c r="F118" i="23"/>
  <c r="F117" i="23"/>
  <c r="F116" i="23"/>
  <c r="F115" i="23"/>
  <c r="F113" i="23"/>
  <c r="F112" i="23"/>
  <c r="F111" i="23"/>
  <c r="F110" i="23"/>
  <c r="F109" i="23"/>
  <c r="F108" i="23"/>
  <c r="F107" i="23"/>
  <c r="F106" i="23"/>
  <c r="F105" i="23"/>
  <c r="F104" i="23"/>
  <c r="F102" i="23"/>
  <c r="F101" i="23"/>
  <c r="F100" i="23"/>
  <c r="F99" i="23"/>
  <c r="F98" i="23"/>
  <c r="F97" i="23"/>
  <c r="F96" i="23"/>
  <c r="F94" i="23"/>
  <c r="F93" i="23"/>
  <c r="F91" i="23"/>
  <c r="F90" i="23"/>
  <c r="F89" i="23"/>
  <c r="F88" i="23"/>
  <c r="F86" i="23"/>
  <c r="F85" i="23"/>
  <c r="F83" i="23"/>
  <c r="F82" i="23"/>
  <c r="F80" i="23"/>
  <c r="F78" i="23"/>
  <c r="F77" i="23"/>
  <c r="F75" i="23"/>
  <c r="F74" i="23"/>
  <c r="F73" i="23"/>
  <c r="F72" i="23"/>
  <c r="F71" i="23"/>
  <c r="F70" i="23"/>
  <c r="F68" i="23"/>
  <c r="F67" i="23"/>
  <c r="F66" i="23"/>
  <c r="F65" i="23"/>
  <c r="F63" i="23"/>
  <c r="F62" i="23"/>
  <c r="F61" i="23"/>
  <c r="F60" i="23"/>
  <c r="F59" i="23"/>
  <c r="F58" i="23"/>
  <c r="F57" i="23"/>
  <c r="F55" i="23"/>
  <c r="F54" i="23"/>
  <c r="F53" i="23"/>
  <c r="F52" i="23"/>
  <c r="F51" i="23"/>
  <c r="F50" i="23"/>
  <c r="F49" i="23"/>
  <c r="F47" i="23"/>
  <c r="F45" i="23"/>
  <c r="F44" i="23"/>
  <c r="F43" i="23"/>
  <c r="F42" i="23"/>
  <c r="F40" i="23"/>
  <c r="F39" i="23"/>
  <c r="F38" i="23"/>
  <c r="F37" i="23"/>
  <c r="F36" i="23"/>
  <c r="F35" i="23"/>
  <c r="F34" i="23"/>
  <c r="F33" i="23"/>
  <c r="F31" i="23"/>
  <c r="F30" i="23"/>
  <c r="F29" i="23"/>
  <c r="F28" i="23"/>
  <c r="F27" i="23"/>
  <c r="F25" i="23"/>
  <c r="F24" i="23"/>
  <c r="F23" i="23"/>
  <c r="F22" i="23"/>
  <c r="F21" i="23"/>
  <c r="F20" i="23"/>
  <c r="F18" i="23"/>
  <c r="F17" i="23"/>
  <c r="F16" i="23"/>
  <c r="F15" i="23"/>
  <c r="F14" i="23"/>
  <c r="F13" i="23"/>
  <c r="F4" i="23"/>
  <c r="F143" i="22"/>
  <c r="F142" i="22"/>
  <c r="F141" i="22"/>
  <c r="F140" i="22"/>
  <c r="F139" i="22"/>
  <c r="F138" i="22"/>
  <c r="F135" i="22"/>
  <c r="F134" i="22"/>
  <c r="F133" i="22"/>
  <c r="F132" i="22"/>
  <c r="F131" i="22"/>
  <c r="F129" i="22"/>
  <c r="F128" i="22"/>
  <c r="F127" i="22"/>
  <c r="F126" i="22"/>
  <c r="F125" i="22"/>
  <c r="F123" i="22"/>
  <c r="F122" i="22"/>
  <c r="F120" i="22"/>
  <c r="F119" i="22"/>
  <c r="F118" i="22"/>
  <c r="F117" i="22"/>
  <c r="F116" i="22"/>
  <c r="F115" i="22"/>
  <c r="F113" i="22"/>
  <c r="F112" i="22"/>
  <c r="F111" i="22"/>
  <c r="F110" i="22"/>
  <c r="F109" i="22"/>
  <c r="F108" i="22"/>
  <c r="F107" i="22"/>
  <c r="F106" i="22"/>
  <c r="F105" i="22"/>
  <c r="F104" i="22"/>
  <c r="F102" i="22"/>
  <c r="F101" i="22"/>
  <c r="F100" i="22"/>
  <c r="F99" i="22"/>
  <c r="F98" i="22"/>
  <c r="F97" i="22"/>
  <c r="F96" i="22"/>
  <c r="F94" i="22"/>
  <c r="F93" i="22"/>
  <c r="F91" i="22"/>
  <c r="F90" i="22"/>
  <c r="F89" i="22"/>
  <c r="F88" i="22"/>
  <c r="F86" i="22"/>
  <c r="F85" i="22"/>
  <c r="F83" i="22"/>
  <c r="F82" i="22"/>
  <c r="F80" i="22"/>
  <c r="F78" i="22"/>
  <c r="F77" i="22"/>
  <c r="F75" i="22"/>
  <c r="F74" i="22"/>
  <c r="F73" i="22"/>
  <c r="F72" i="22"/>
  <c r="F71" i="22"/>
  <c r="F70" i="22"/>
  <c r="F68" i="22"/>
  <c r="F67" i="22"/>
  <c r="F66" i="22"/>
  <c r="F65" i="22"/>
  <c r="F63" i="22"/>
  <c r="F62" i="22"/>
  <c r="F61" i="22"/>
  <c r="F60" i="22"/>
  <c r="F59" i="22"/>
  <c r="F58" i="22"/>
  <c r="F57" i="22"/>
  <c r="F55" i="22"/>
  <c r="F54" i="22"/>
  <c r="F53" i="22"/>
  <c r="F52" i="22"/>
  <c r="F51" i="22"/>
  <c r="F50" i="22"/>
  <c r="F49" i="22"/>
  <c r="F47" i="22"/>
  <c r="F45" i="22"/>
  <c r="F44" i="22"/>
  <c r="F43" i="22"/>
  <c r="F42" i="22"/>
  <c r="F40" i="22"/>
  <c r="F39" i="22"/>
  <c r="F38" i="22"/>
  <c r="F37" i="22"/>
  <c r="F36" i="22"/>
  <c r="F35" i="22"/>
  <c r="F34" i="22"/>
  <c r="F33" i="22"/>
  <c r="F31" i="22"/>
  <c r="F30" i="22"/>
  <c r="F29" i="22"/>
  <c r="F28" i="22"/>
  <c r="F27" i="22"/>
  <c r="F25" i="22"/>
  <c r="F24" i="22"/>
  <c r="F23" i="22"/>
  <c r="F22" i="22"/>
  <c r="F21" i="22"/>
  <c r="F20" i="22"/>
  <c r="F18" i="22"/>
  <c r="F17" i="22"/>
  <c r="F16" i="22"/>
  <c r="F15" i="22"/>
  <c r="F14" i="22"/>
  <c r="F13" i="22"/>
  <c r="F4" i="22"/>
  <c r="F143" i="21"/>
  <c r="F142" i="21"/>
  <c r="F141" i="21"/>
  <c r="F140" i="21"/>
  <c r="F139" i="21"/>
  <c r="F138" i="21"/>
  <c r="F135" i="21"/>
  <c r="F134" i="21"/>
  <c r="F133" i="21"/>
  <c r="F132" i="21"/>
  <c r="F131" i="21"/>
  <c r="F129" i="21"/>
  <c r="F128" i="21"/>
  <c r="F127" i="21"/>
  <c r="F126" i="21"/>
  <c r="F125" i="21"/>
  <c r="F123" i="21"/>
  <c r="F122" i="21"/>
  <c r="F120" i="21"/>
  <c r="F119" i="21"/>
  <c r="F118" i="21"/>
  <c r="F117" i="21"/>
  <c r="F116" i="21"/>
  <c r="F115" i="21"/>
  <c r="F113" i="21"/>
  <c r="F112" i="21"/>
  <c r="F111" i="21"/>
  <c r="F110" i="21"/>
  <c r="F109" i="21"/>
  <c r="F108" i="21"/>
  <c r="F107" i="21"/>
  <c r="F106" i="21"/>
  <c r="F105" i="21"/>
  <c r="F104" i="21"/>
  <c r="F102" i="21"/>
  <c r="F101" i="21"/>
  <c r="F100" i="21"/>
  <c r="F99" i="21"/>
  <c r="F98" i="21"/>
  <c r="F97" i="21"/>
  <c r="F96" i="21"/>
  <c r="F94" i="21"/>
  <c r="F93" i="21"/>
  <c r="F91" i="21"/>
  <c r="F90" i="21"/>
  <c r="F89" i="21"/>
  <c r="F88" i="21"/>
  <c r="F86" i="21"/>
  <c r="F85" i="21"/>
  <c r="F83" i="21"/>
  <c r="F82" i="21"/>
  <c r="F80" i="21"/>
  <c r="F78" i="21"/>
  <c r="F77" i="21"/>
  <c r="F75" i="21"/>
  <c r="F74" i="21"/>
  <c r="F73" i="21"/>
  <c r="F72" i="21"/>
  <c r="F71" i="21"/>
  <c r="F70" i="21"/>
  <c r="F68" i="21"/>
  <c r="F67" i="21"/>
  <c r="F66" i="21"/>
  <c r="F65" i="21"/>
  <c r="F63" i="21"/>
  <c r="F62" i="21"/>
  <c r="F61" i="21"/>
  <c r="F60" i="21"/>
  <c r="F59" i="21"/>
  <c r="F58" i="21"/>
  <c r="F57" i="21"/>
  <c r="F55" i="21"/>
  <c r="F54" i="21"/>
  <c r="F53" i="21"/>
  <c r="F52" i="21"/>
  <c r="F51" i="21"/>
  <c r="F50" i="21"/>
  <c r="F49" i="21"/>
  <c r="F47" i="21"/>
  <c r="F45" i="21"/>
  <c r="F44" i="21"/>
  <c r="F43" i="21"/>
  <c r="F42" i="21"/>
  <c r="F40" i="21"/>
  <c r="F39" i="21"/>
  <c r="F38" i="21"/>
  <c r="F37" i="21"/>
  <c r="F36" i="21"/>
  <c r="F35" i="21"/>
  <c r="F34" i="21"/>
  <c r="F33" i="21"/>
  <c r="F31" i="21"/>
  <c r="F30" i="21"/>
  <c r="F29" i="21"/>
  <c r="F28" i="21"/>
  <c r="F27" i="21"/>
  <c r="F25" i="21"/>
  <c r="F24" i="21"/>
  <c r="F23" i="21"/>
  <c r="F22" i="21"/>
  <c r="F21" i="21"/>
  <c r="F20" i="21"/>
  <c r="F18" i="21"/>
  <c r="F17" i="21"/>
  <c r="F16" i="21"/>
  <c r="F15" i="21"/>
  <c r="F14" i="21"/>
  <c r="F13" i="21"/>
  <c r="F4" i="21"/>
  <c r="F143" i="20"/>
  <c r="F142" i="20"/>
  <c r="F141" i="20"/>
  <c r="F140" i="20"/>
  <c r="F139" i="20"/>
  <c r="F138" i="20"/>
  <c r="F135" i="20"/>
  <c r="F134" i="20"/>
  <c r="F133" i="20"/>
  <c r="F132" i="20"/>
  <c r="F131" i="20"/>
  <c r="F129" i="20"/>
  <c r="F128" i="20"/>
  <c r="F127" i="20"/>
  <c r="F126" i="20"/>
  <c r="F125" i="20"/>
  <c r="F123" i="20"/>
  <c r="F122" i="20"/>
  <c r="F120" i="20"/>
  <c r="F119" i="20"/>
  <c r="F118" i="20"/>
  <c r="F117" i="20"/>
  <c r="F116" i="20"/>
  <c r="F115" i="20"/>
  <c r="F113" i="20"/>
  <c r="F112" i="20"/>
  <c r="F111" i="20"/>
  <c r="F110" i="20"/>
  <c r="F109" i="20"/>
  <c r="F108" i="20"/>
  <c r="F107" i="20"/>
  <c r="F106" i="20"/>
  <c r="F105" i="20"/>
  <c r="F104" i="20"/>
  <c r="F102" i="20"/>
  <c r="F101" i="20"/>
  <c r="F100" i="20"/>
  <c r="F99" i="20"/>
  <c r="F98" i="20"/>
  <c r="F97" i="20"/>
  <c r="F96" i="20"/>
  <c r="F94" i="20"/>
  <c r="F93" i="20"/>
  <c r="F91" i="20"/>
  <c r="F90" i="20"/>
  <c r="F89" i="20"/>
  <c r="F88" i="20"/>
  <c r="F86" i="20"/>
  <c r="F85" i="20"/>
  <c r="F83" i="20"/>
  <c r="F82" i="20"/>
  <c r="F80" i="20"/>
  <c r="F78" i="20"/>
  <c r="F77" i="20"/>
  <c r="F75" i="20"/>
  <c r="F74" i="20"/>
  <c r="F73" i="20"/>
  <c r="F72" i="20"/>
  <c r="F71" i="20"/>
  <c r="F70" i="20"/>
  <c r="F68" i="20"/>
  <c r="F67" i="20"/>
  <c r="F66" i="20"/>
  <c r="F65" i="20"/>
  <c r="F63" i="20"/>
  <c r="F62" i="20"/>
  <c r="F61" i="20"/>
  <c r="F60" i="20"/>
  <c r="F59" i="20"/>
  <c r="F58" i="20"/>
  <c r="F57" i="20"/>
  <c r="F55" i="20"/>
  <c r="F54" i="20"/>
  <c r="F53" i="20"/>
  <c r="F52" i="20"/>
  <c r="F51" i="20"/>
  <c r="F50" i="20"/>
  <c r="F49" i="20"/>
  <c r="F47" i="20"/>
  <c r="F45" i="20"/>
  <c r="F44" i="20"/>
  <c r="F43" i="20"/>
  <c r="F42" i="20"/>
  <c r="F40" i="20"/>
  <c r="F39" i="20"/>
  <c r="F38" i="20"/>
  <c r="F37" i="20"/>
  <c r="F36" i="20"/>
  <c r="F35" i="20"/>
  <c r="F34" i="20"/>
  <c r="F33" i="20"/>
  <c r="F31" i="20"/>
  <c r="F30" i="20"/>
  <c r="F29" i="20"/>
  <c r="F28" i="20"/>
  <c r="F27" i="20"/>
  <c r="F25" i="20"/>
  <c r="F24" i="20"/>
  <c r="F23" i="20"/>
  <c r="F22" i="20"/>
  <c r="F21" i="20"/>
  <c r="F20" i="20"/>
  <c r="F18" i="20"/>
  <c r="F17" i="20"/>
  <c r="F16" i="20"/>
  <c r="F15" i="20"/>
  <c r="F14" i="20"/>
  <c r="F13" i="20"/>
  <c r="F4" i="20"/>
  <c r="F143" i="19"/>
  <c r="F142" i="19"/>
  <c r="F141" i="19"/>
  <c r="F140" i="19"/>
  <c r="F139" i="19"/>
  <c r="F138" i="19"/>
  <c r="F135" i="19"/>
  <c r="F134" i="19"/>
  <c r="F133" i="19"/>
  <c r="F132" i="19"/>
  <c r="F131" i="19"/>
  <c r="F129" i="19"/>
  <c r="F128" i="19"/>
  <c r="F127" i="19"/>
  <c r="F126" i="19"/>
  <c r="F125" i="19"/>
  <c r="F123" i="19"/>
  <c r="F122" i="19"/>
  <c r="F120" i="19"/>
  <c r="F119" i="19"/>
  <c r="F118" i="19"/>
  <c r="F117" i="19"/>
  <c r="F116" i="19"/>
  <c r="F115" i="19"/>
  <c r="F113" i="19"/>
  <c r="F112" i="19"/>
  <c r="F111" i="19"/>
  <c r="F110" i="19"/>
  <c r="F109" i="19"/>
  <c r="F108" i="19"/>
  <c r="F107" i="19"/>
  <c r="F106" i="19"/>
  <c r="F105" i="19"/>
  <c r="F104" i="19"/>
  <c r="F102" i="19"/>
  <c r="F101" i="19"/>
  <c r="F100" i="19"/>
  <c r="F99" i="19"/>
  <c r="F98" i="19"/>
  <c r="F97" i="19"/>
  <c r="F96" i="19"/>
  <c r="F94" i="19"/>
  <c r="F93" i="19"/>
  <c r="F91" i="19"/>
  <c r="F90" i="19"/>
  <c r="F89" i="19"/>
  <c r="F88" i="19"/>
  <c r="F86" i="19"/>
  <c r="F85" i="19"/>
  <c r="F83" i="19"/>
  <c r="F82" i="19"/>
  <c r="F80" i="19"/>
  <c r="F78" i="19"/>
  <c r="F77" i="19"/>
  <c r="F75" i="19"/>
  <c r="F74" i="19"/>
  <c r="F73" i="19"/>
  <c r="F72" i="19"/>
  <c r="F71" i="19"/>
  <c r="F70" i="19"/>
  <c r="F68" i="19"/>
  <c r="F67" i="19"/>
  <c r="F66" i="19"/>
  <c r="F65" i="19"/>
  <c r="F63" i="19"/>
  <c r="F62" i="19"/>
  <c r="F61" i="19"/>
  <c r="F60" i="19"/>
  <c r="F59" i="19"/>
  <c r="F58" i="19"/>
  <c r="F57" i="19"/>
  <c r="F55" i="19"/>
  <c r="F54" i="19"/>
  <c r="F53" i="19"/>
  <c r="F52" i="19"/>
  <c r="F51" i="19"/>
  <c r="F50" i="19"/>
  <c r="F49" i="19"/>
  <c r="F47" i="19"/>
  <c r="F45" i="19"/>
  <c r="F44" i="19"/>
  <c r="F43" i="19"/>
  <c r="F42" i="19"/>
  <c r="F40" i="19"/>
  <c r="F39" i="19"/>
  <c r="F38" i="19"/>
  <c r="F37" i="19"/>
  <c r="F36" i="19"/>
  <c r="F35" i="19"/>
  <c r="F34" i="19"/>
  <c r="F33" i="19"/>
  <c r="F31" i="19"/>
  <c r="F30" i="19"/>
  <c r="F29" i="19"/>
  <c r="F28" i="19"/>
  <c r="F27" i="19"/>
  <c r="F25" i="19"/>
  <c r="F24" i="19"/>
  <c r="F23" i="19"/>
  <c r="F22" i="19"/>
  <c r="F21" i="19"/>
  <c r="F20" i="19"/>
  <c r="F18" i="19"/>
  <c r="F17" i="19"/>
  <c r="F16" i="19"/>
  <c r="F15" i="19"/>
  <c r="F14" i="19"/>
  <c r="F13" i="19"/>
  <c r="F4" i="19"/>
  <c r="F143" i="18" l="1"/>
  <c r="F142" i="18"/>
  <c r="F141" i="18"/>
  <c r="F140" i="18"/>
  <c r="F139" i="18"/>
  <c r="F138" i="18"/>
  <c r="F135" i="18"/>
  <c r="F134" i="18"/>
  <c r="F133" i="18"/>
  <c r="F132" i="18"/>
  <c r="F131" i="18"/>
  <c r="F129" i="18"/>
  <c r="F128" i="18"/>
  <c r="F127" i="18"/>
  <c r="F126" i="18"/>
  <c r="F125" i="18"/>
  <c r="F123" i="18"/>
  <c r="F122" i="18"/>
  <c r="F115" i="18"/>
  <c r="F120" i="18"/>
  <c r="F119" i="18"/>
  <c r="F118" i="18"/>
  <c r="F117" i="18"/>
  <c r="F116" i="18"/>
  <c r="F113" i="18"/>
  <c r="F112" i="18"/>
  <c r="F111" i="18"/>
  <c r="F110" i="18"/>
  <c r="F109" i="18"/>
  <c r="F108" i="18"/>
  <c r="F107" i="18"/>
  <c r="F106" i="18"/>
  <c r="F105" i="18"/>
  <c r="F104" i="18"/>
  <c r="F102" i="18"/>
  <c r="F101" i="18"/>
  <c r="F100" i="18"/>
  <c r="F99" i="18"/>
  <c r="F98" i="18"/>
  <c r="F97" i="18"/>
  <c r="F96" i="18"/>
  <c r="F94" i="18" l="1"/>
  <c r="F93" i="18"/>
  <c r="F91" i="18"/>
  <c r="F90" i="18"/>
  <c r="F89" i="18"/>
  <c r="F88" i="18"/>
  <c r="F68" i="18"/>
  <c r="F67" i="18"/>
  <c r="F66" i="18"/>
  <c r="F65" i="18"/>
  <c r="F86" i="18"/>
  <c r="F85" i="18"/>
  <c r="F83" i="18"/>
  <c r="F82" i="18"/>
  <c r="F80" i="18"/>
  <c r="F78" i="18" l="1"/>
  <c r="F77" i="18"/>
  <c r="F75" i="18"/>
  <c r="F73" i="18"/>
  <c r="F72" i="18"/>
  <c r="F71" i="18"/>
  <c r="F70" i="18"/>
  <c r="F74" i="18"/>
  <c r="F63" i="18"/>
  <c r="F62" i="18"/>
  <c r="F61" i="18"/>
  <c r="F60" i="18"/>
  <c r="F59" i="18"/>
  <c r="F58" i="18"/>
  <c r="F57" i="18"/>
  <c r="F55" i="18"/>
  <c r="F54" i="18"/>
  <c r="F53" i="18"/>
  <c r="F52" i="18"/>
  <c r="F51" i="18"/>
  <c r="F50" i="18"/>
  <c r="F49" i="18"/>
  <c r="F47" i="18"/>
  <c r="F45" i="18"/>
  <c r="F44" i="18"/>
  <c r="F43" i="18"/>
  <c r="F42" i="18"/>
  <c r="F40" i="18"/>
  <c r="F39" i="18"/>
  <c r="F38" i="18"/>
  <c r="F37" i="18"/>
  <c r="F36" i="18"/>
  <c r="F35" i="18"/>
  <c r="F34" i="18"/>
  <c r="F33" i="18"/>
  <c r="F31" i="18"/>
  <c r="F30" i="18"/>
  <c r="F29" i="18"/>
  <c r="F28" i="18"/>
  <c r="F27" i="18"/>
  <c r="F25" i="18"/>
  <c r="F24" i="18"/>
  <c r="F23" i="18"/>
  <c r="F22" i="18"/>
  <c r="F21" i="18"/>
  <c r="F20" i="18"/>
  <c r="F18" i="18"/>
  <c r="F17" i="18"/>
  <c r="F16" i="18"/>
  <c r="F15" i="18"/>
  <c r="F14" i="18"/>
  <c r="F13" i="18"/>
  <c r="F4" i="18"/>
  <c r="CX13" i="17"/>
  <c r="CX12" i="17"/>
  <c r="CX11" i="17"/>
  <c r="CX10" i="17"/>
  <c r="CX9" i="17"/>
  <c r="CX8" i="17"/>
  <c r="CX7" i="17"/>
  <c r="CX6" i="17"/>
  <c r="CX5" i="17"/>
  <c r="CX4" i="17"/>
  <c r="CX3" i="17"/>
  <c r="CX2" i="17"/>
</calcChain>
</file>

<file path=xl/sharedStrings.xml><?xml version="1.0" encoding="utf-8"?>
<sst xmlns="http://schemas.openxmlformats.org/spreadsheetml/2006/main" count="4675" uniqueCount="300">
  <si>
    <t>Steps to follow to prepare this file for tender</t>
  </si>
  <si>
    <t>Enter the Enquiry number in the cell below (B14) so that the number is carried through to the AB Schedule Sheets</t>
  </si>
  <si>
    <t>Leave enquiry number blank if not known</t>
  </si>
  <si>
    <t>Go to Source Data worksheet and confirm the figures from columns BU to BX and EL are correct</t>
  </si>
  <si>
    <t>Fix any other requirements on Source Data if there has been a change to the spec</t>
  </si>
  <si>
    <t>Hide Source Data Sheet</t>
  </si>
  <si>
    <t>Hide this sheet</t>
  </si>
  <si>
    <t>Hide any unnecessary sheets if not needed for the tender</t>
  </si>
  <si>
    <t>NOTE:</t>
  </si>
  <si>
    <t>This AB schedule is only for Ester Oil options. If the the tender scope includes Ester options, please also submit the Ester Oil or Ester/Ester Schedule to the Buyer</t>
  </si>
  <si>
    <t>Type Enquiry Number in the cell below (overtype the green text) so that it transfers to all the AB Schedules</t>
  </si>
  <si>
    <t>&gt;&gt;&gt;</t>
  </si>
  <si>
    <r>
      <t xml:space="preserve">Enquiry Number: </t>
    </r>
    <r>
      <rPr>
        <sz val="11"/>
        <color rgb="FF00B050"/>
        <rFont val="Calibri"/>
        <family val="2"/>
        <scheme val="minor"/>
      </rPr>
      <t>123456XYZ</t>
    </r>
  </si>
  <si>
    <t xml:space="preserve">List of Items </t>
  </si>
  <si>
    <t>SAP Number</t>
  </si>
  <si>
    <t>Description</t>
  </si>
  <si>
    <t>Schedule Name</t>
  </si>
  <si>
    <t>0180281</t>
  </si>
  <si>
    <t>TFR 50kVA 11kV/19kV SWER ISOL CSTL D3201</t>
  </si>
  <si>
    <t>SWER Isolation, 50kVA 11kV/ 19kV* (Coastal, Ester Oil Only)</t>
  </si>
  <si>
    <t>0180282</t>
  </si>
  <si>
    <t>TFR 50kVA 22kV/19kV SWER ISOL CSTL D3201</t>
  </si>
  <si>
    <t>SWER Isolation, 50kVA 22kV/ 19kV* (Coastal, Ester Oil Only)</t>
  </si>
  <si>
    <t>0205441</t>
  </si>
  <si>
    <t>TFR 50kVA 33kV/19kV SWER ISOL CSTL D3201</t>
  </si>
  <si>
    <t>SWER Isolation, 50kVA 33kV/ 19kV* (Coastal, Ester Oil Only)</t>
  </si>
  <si>
    <t>0180283</t>
  </si>
  <si>
    <t>TFR 100kVA 11kV/19kV SWER ISOL CSTL D3201</t>
  </si>
  <si>
    <t>SWER Isolation, 100kVA 11kV/ 19kV* (Coastal, Ester Oil Only)</t>
  </si>
  <si>
    <t>0180284</t>
  </si>
  <si>
    <t>TFR 100kVA 22kV/19kV SWER ISOL CSTL D3201</t>
  </si>
  <si>
    <t>SWER Isolation, 100kVA 22kV/ 19kV* (Coastal, Ester Oil Only)</t>
  </si>
  <si>
    <t>0205443</t>
  </si>
  <si>
    <t>TFR 100kVA 33kV/19kV SWER ISOL CSTL D3201</t>
  </si>
  <si>
    <t>SWER Isolation, 100kVA 33kV/ 19kV* (Coastal, Ester Oil Only)</t>
  </si>
  <si>
    <t>0180285</t>
  </si>
  <si>
    <t>TFR 200kVA 11kV/19kV SWER ISOL CSTL D3201</t>
  </si>
  <si>
    <t>SWER Isolation, 200kVA 11kV/ 19kV* (Coastal, Ester Oil Only)</t>
  </si>
  <si>
    <t>0180286</t>
  </si>
  <si>
    <t>TFR 200kVA 22kV/19kV SWER ISOL CSTL D3201</t>
  </si>
  <si>
    <t>SWER Isolation, 200kVA 22kV/ 19kV* (Coastal, Ester Oil Only)</t>
  </si>
  <si>
    <t>0205439</t>
  </si>
  <si>
    <t>TFR 200kVA 33kV/19kV SWER ISOL CSTL D3201</t>
  </si>
  <si>
    <t>SWER Isolation, 200kVA 33kV/ 19kV* (Coastal, Ester Oil Only)</t>
  </si>
  <si>
    <t>0180287</t>
  </si>
  <si>
    <t>TFR 400kVA 11kV/19kV SWER ISOL CSTL D3201</t>
  </si>
  <si>
    <t>SWER Isolation, 400kVA 11kV/ 19kV* (Coastal, Ester Oil Only)</t>
  </si>
  <si>
    <t>0180288</t>
  </si>
  <si>
    <t>TFR 400kVA 22kV/19kV SWER ISOL CSTL D3201</t>
  </si>
  <si>
    <t>SWER Isolation, 400kVA 22kV/ 19kV* (Coastal, Ester Oil Only)</t>
  </si>
  <si>
    <t>0205445</t>
  </si>
  <si>
    <t>TFR 400kVA 33kV/19kV SWER ISOL CSTL D3201</t>
  </si>
  <si>
    <t>SWER Isolation, 400kVA 33kV/ 19kV* (Coastal, Ester Oil Only)</t>
  </si>
  <si>
    <t>Select Pole Mounted Transformer (kVA, kV) here!</t>
  </si>
  <si>
    <t>Identification</t>
  </si>
  <si>
    <t>Name of manufacturer</t>
  </si>
  <si>
    <t>Name of supplier</t>
  </si>
  <si>
    <t>Product code for Inland transformers</t>
  </si>
  <si>
    <t>Product code for Coastal transformers</t>
  </si>
  <si>
    <t>Are the transformers covered by the SABS  certification mark?</t>
  </si>
  <si>
    <t>State SABS 780 permit number</t>
  </si>
  <si>
    <t>Oil Type</t>
  </si>
  <si>
    <t>Ratings</t>
  </si>
  <si>
    <t>Power rating</t>
  </si>
  <si>
    <t>Rated primary voltage</t>
  </si>
  <si>
    <t>Rated no-load secondary voltage</t>
  </si>
  <si>
    <t>Frequency</t>
  </si>
  <si>
    <t>Number of phases</t>
  </si>
  <si>
    <t>Vector Group</t>
  </si>
  <si>
    <t>Insulation levels</t>
  </si>
  <si>
    <t>BIL - Primary</t>
  </si>
  <si>
    <t>BIL - Secondary Line Terminal</t>
  </si>
  <si>
    <t>BIL - Secondary Neutral Terminal</t>
  </si>
  <si>
    <t>Power frequency withstand voltage - Primary</t>
  </si>
  <si>
    <t>Power frequency withstand voltage – Secondary</t>
  </si>
  <si>
    <t>Inter-turn winding insulation</t>
  </si>
  <si>
    <t>Type (Enamel or Paper)</t>
  </si>
  <si>
    <t>Enamel grade (if applicable)</t>
  </si>
  <si>
    <t>Paper thickness (if applicable)</t>
  </si>
  <si>
    <t>Paper type (if applicable)</t>
  </si>
  <si>
    <t>Paper make (if applicable)</t>
  </si>
  <si>
    <t>Paper minimum impulse withstand</t>
  </si>
  <si>
    <t xml:space="preserve">Paper minimum power frequency withstand </t>
  </si>
  <si>
    <t>Inter-turn winding insulation stres</t>
  </si>
  <si>
    <t>Interlayer insulation</t>
  </si>
  <si>
    <t>Highest interlayer stress in non-tap part of winding (&lt;5kV/mm is not acceptable as the calculated value must be presented)</t>
  </si>
  <si>
    <t>Highest interlayer stress in tap part of winding (&lt;5kV/mm is not acceptable as the calculated value must be presented)</t>
  </si>
  <si>
    <t>Paper type.</t>
  </si>
  <si>
    <t>Paper make.</t>
  </si>
  <si>
    <t>Tapping connections</t>
  </si>
  <si>
    <t>No tap connections shall be provided on SWER isolation transformers</t>
  </si>
  <si>
    <t>Tapping range</t>
  </si>
  <si>
    <t>MV Bushings for Inland transformers</t>
  </si>
  <si>
    <t xml:space="preserve">Make </t>
  </si>
  <si>
    <t>Product code</t>
  </si>
  <si>
    <t>Material (e.g. Porcelain)</t>
  </si>
  <si>
    <t>Specific creepage distance</t>
  </si>
  <si>
    <t>Clamping</t>
  </si>
  <si>
    <t>Type</t>
  </si>
  <si>
    <t>Stem diameter</t>
  </si>
  <si>
    <t>Primary MV Bushings for Coastal Transformers</t>
  </si>
  <si>
    <t>Secondary MV Bushings for Coastal Transformers</t>
  </si>
  <si>
    <t>Secondary LV Bushings for Coastal Transformers</t>
  </si>
  <si>
    <t xml:space="preserve">Supplied with flag </t>
  </si>
  <si>
    <t>Flag supplied with 2 x M12 x 40 mm set screws, 4 x flatwashers, 2 x spring washers and 2 x nuts</t>
  </si>
  <si>
    <t>Losses</t>
  </si>
  <si>
    <t xml:space="preserve">Loss factor base (Cost of Dx or Gx) </t>
  </si>
  <si>
    <t xml:space="preserve">No-load Loss Factor, NLLF </t>
  </si>
  <si>
    <t>Load Loss Factor, LLF</t>
  </si>
  <si>
    <t>Guaranteed no-load losses, PNL</t>
  </si>
  <si>
    <t>Guaranteed load losses, PLL</t>
  </si>
  <si>
    <t>Impedance voltage &amp; X/R ratio</t>
  </si>
  <si>
    <t>Impedance at principle tapping (specific design impedances to be stated)</t>
  </si>
  <si>
    <t>X/R ratio</t>
  </si>
  <si>
    <t>Audio-sound level (clause 8.5.3 of SANS 780)</t>
  </si>
  <si>
    <t>Maximum limit of transformer audio-sound level</t>
  </si>
  <si>
    <t>Primary winding wire</t>
  </si>
  <si>
    <t>Material (e.g. Cu or Al)</t>
  </si>
  <si>
    <t>Type (e.g. Round, Strip or Foil)</t>
  </si>
  <si>
    <t>Secondary winding wire</t>
  </si>
  <si>
    <t>Core material</t>
  </si>
  <si>
    <t xml:space="preserve">Core material </t>
  </si>
  <si>
    <t xml:space="preserve">Type/code </t>
  </si>
  <si>
    <t>Maximum Flux Density of Material</t>
  </si>
  <si>
    <t>Supplier</t>
  </si>
  <si>
    <t>Tank and tank cover</t>
  </si>
  <si>
    <t>Tank type: Sealed</t>
  </si>
  <si>
    <t>Plain, rigid or corrugated</t>
  </si>
  <si>
    <t>Transformer dimensions</t>
  </si>
  <si>
    <t>Wo (including surge arrester)</t>
  </si>
  <si>
    <t>Lo</t>
  </si>
  <si>
    <t>Ht</t>
  </si>
  <si>
    <t>Mass</t>
  </si>
  <si>
    <t>Oil capacity</t>
  </si>
  <si>
    <t xml:space="preserve">Minimum clearance between live MV terminals and from MV live terminals to any part of the tank greater than twice the BIL </t>
  </si>
  <si>
    <t>Minimum mechanical clearance of 100 mm between the brackets and LV bushings shall be maintained</t>
  </si>
  <si>
    <t>Pole mounting bracket</t>
  </si>
  <si>
    <t>Single pole mounting bracket required? (Yes or No)</t>
  </si>
  <si>
    <t>Supplied with: - 2 x clamps</t>
  </si>
  <si>
    <t xml:space="preserve">                     - 1 x threaded rod (M20 x 350 mm)</t>
  </si>
  <si>
    <t xml:space="preserve">                     - 4 x threaded rods (M20 x 250 mm)</t>
  </si>
  <si>
    <t xml:space="preserve">                     - 12 x nuts, flat washers &amp; spring washers (M20)</t>
  </si>
  <si>
    <t>Dimension Mo</t>
  </si>
  <si>
    <t>Dimension h1</t>
  </si>
  <si>
    <t>Dimension W1</t>
  </si>
  <si>
    <t>Mounting hole diameter</t>
  </si>
  <si>
    <t>Mounting hole centres</t>
  </si>
  <si>
    <t>Transformer under base</t>
  </si>
  <si>
    <t>Under base required? (Yes or No)</t>
  </si>
  <si>
    <t>Lml</t>
  </si>
  <si>
    <t>Lmw (300, 400 or 450)</t>
  </si>
  <si>
    <t>Ls</t>
  </si>
  <si>
    <t>Lmh</t>
  </si>
  <si>
    <t>Lifting lugs</t>
  </si>
  <si>
    <t>Lifting lugs fitted</t>
  </si>
  <si>
    <t>Hole diameter</t>
  </si>
  <si>
    <t>Earthing terminals</t>
  </si>
  <si>
    <t xml:space="preserve">Boss material </t>
  </si>
  <si>
    <t>Boss depth</t>
  </si>
  <si>
    <t>Set screw material</t>
  </si>
  <si>
    <t>Set screw dimensions</t>
  </si>
  <si>
    <t>Supplied with washer and spring washer</t>
  </si>
  <si>
    <t>Surge arrester brackets</t>
  </si>
  <si>
    <t>Surge arrester brackets fitted</t>
  </si>
  <si>
    <t>Dimension D (worst case)</t>
  </si>
  <si>
    <t>Dimension E (worst case)</t>
  </si>
  <si>
    <t>Dimension F (worst case)</t>
  </si>
  <si>
    <t>Corrosion protection Inland transformers</t>
  </si>
  <si>
    <t>Indicate the coating system (i.e. DS numbers according to DSP 240-75655504) that is offered. (e.g. DS-7 for mild steel)</t>
  </si>
  <si>
    <t xml:space="preserve">Tank </t>
  </si>
  <si>
    <t>Radiators</t>
  </si>
  <si>
    <t>Threaded rods and accessories</t>
  </si>
  <si>
    <t>Colour of final coat</t>
  </si>
  <si>
    <t>Corrosion protection for Coastal transformers</t>
  </si>
  <si>
    <t>Indicate the coating system (i.e. DS numbers according to DSP 240-75655504) that is offered. (e.g. DS-14 + DS-15 for zinc sprayed mild steel with duplex coating)</t>
  </si>
  <si>
    <t>All Type Tests in Accordance with SANS 780:</t>
  </si>
  <si>
    <t>All Routine Tests in Accordance with SANS 780:</t>
  </si>
  <si>
    <t>Amorphous Losses (Guaranteed no-load losses, PNL)</t>
  </si>
  <si>
    <t>xxxxxxxxxxx</t>
  </si>
  <si>
    <t>Ester Oil</t>
  </si>
  <si>
    <t>1ph</t>
  </si>
  <si>
    <t>N/A</t>
  </si>
  <si>
    <t>Grade 3</t>
  </si>
  <si>
    <t>&gt; 0.125</t>
  </si>
  <si>
    <t>&lt;5</t>
  </si>
  <si>
    <t>&lt; 5</t>
  </si>
  <si>
    <t xml:space="preserve">&lt; 5 </t>
  </si>
  <si>
    <t>≥ 31</t>
  </si>
  <si>
    <t>Base</t>
  </si>
  <si>
    <t>Draw lead</t>
  </si>
  <si>
    <t>M12</t>
  </si>
  <si>
    <t>Distribution</t>
  </si>
  <si>
    <t>3,0 to 4,5</t>
  </si>
  <si>
    <t>xxxxxxxxxx</t>
  </si>
  <si>
    <t xml:space="preserve">≤ 48 </t>
  </si>
  <si>
    <t>Steel or Amporphous</t>
  </si>
  <si>
    <t>Sealed</t>
  </si>
  <si>
    <t xml:space="preserve">≤ 1 080 </t>
  </si>
  <si>
    <t xml:space="preserve">≤ 1 500 </t>
  </si>
  <si>
    <t xml:space="preserve">≤ 900 </t>
  </si>
  <si>
    <t>No</t>
  </si>
  <si>
    <t>Yes</t>
  </si>
  <si>
    <t>≥ 320</t>
  </si>
  <si>
    <t xml:space="preserve">≤ 120 </t>
  </si>
  <si>
    <t xml:space="preserve">≥ 30 </t>
  </si>
  <si>
    <t>316 Stainless Steel or Mild Steel</t>
  </si>
  <si>
    <t>≥ 30</t>
  </si>
  <si>
    <t xml:space="preserve">M12 x 25 </t>
  </si>
  <si>
    <t>≥ 200</t>
  </si>
  <si>
    <t>≥ 190</t>
  </si>
  <si>
    <t>≥ 150</t>
  </si>
  <si>
    <t>Avocado</t>
  </si>
  <si>
    <t>Azure Blue</t>
  </si>
  <si>
    <t>Report Numbers</t>
  </si>
  <si>
    <t>≥ 300</t>
  </si>
  <si>
    <t xml:space="preserve">≥ 400 </t>
  </si>
  <si>
    <t>4,0 to 5,0</t>
  </si>
  <si>
    <t>≤ 1 500</t>
  </si>
  <si>
    <t>≤ 2 000</t>
  </si>
  <si>
    <t>≤ 1 700</t>
  </si>
  <si>
    <t>≤ 2000</t>
  </si>
  <si>
    <t>≤ 1700</t>
  </si>
  <si>
    <t>≤ 52</t>
  </si>
  <si>
    <t>≤ 1 800</t>
  </si>
  <si>
    <t>≤ 3500</t>
  </si>
  <si>
    <t>Removed from Schedule</t>
  </si>
  <si>
    <t>Specification: DSP 240-45395762 Rev.4</t>
  </si>
  <si>
    <t>TECHNICAL SCHEDULES A &amp; B FOR 
POLE-MOUNTED  DISTRIBUTION TRANSFORMERS</t>
  </si>
  <si>
    <t>* rated no-load voltage of the secondary shall be 19 kV (phase to ground)</t>
  </si>
  <si>
    <t>Deviations from the specific requirements stated in Schedule A must be recorded and explained in the Deviation Schedule</t>
  </si>
  <si>
    <t>Schedule A:  Purchaser's specific requirements</t>
  </si>
  <si>
    <t>Schedule B:  Guarantees and technical particulars of equipment offered</t>
  </si>
  <si>
    <t>Item</t>
  </si>
  <si>
    <t>Sub-clause of 240- 45395762</t>
  </si>
  <si>
    <t>Schedule A</t>
  </si>
  <si>
    <t>Schedule B</t>
  </si>
  <si>
    <t>Are the transformers covered by the SANS 780 certification mark?</t>
  </si>
  <si>
    <t>State SANS 780 permit number</t>
  </si>
  <si>
    <t>3.2.2</t>
  </si>
  <si>
    <t>kVA</t>
  </si>
  <si>
    <t>kV</t>
  </si>
  <si>
    <t>Rated no-load secondary voltage (phase to ground)</t>
  </si>
  <si>
    <t>Hz</t>
  </si>
  <si>
    <t>3.2.5</t>
  </si>
  <si>
    <t>3.2.8</t>
  </si>
  <si>
    <t>mm</t>
  </si>
  <si>
    <t>Inter-turn winding insulation stress shall not exceed 5 kV/mm</t>
  </si>
  <si>
    <t>kV/mm</t>
  </si>
  <si>
    <t>3.2.9</t>
  </si>
  <si>
    <t>3.2.10</t>
  </si>
  <si>
    <t>3.2.11</t>
  </si>
  <si>
    <t>mm/kV</t>
  </si>
  <si>
    <t>7.10</t>
  </si>
  <si>
    <t>7.11</t>
  </si>
  <si>
    <t>7.12</t>
  </si>
  <si>
    <t>7.13</t>
  </si>
  <si>
    <t>7.14</t>
  </si>
  <si>
    <t>7.15</t>
  </si>
  <si>
    <t>3.2.14</t>
  </si>
  <si>
    <t>R/kW</t>
  </si>
  <si>
    <r>
      <t>Guaranteed no-load losses, P</t>
    </r>
    <r>
      <rPr>
        <vertAlign val="subscript"/>
        <sz val="12"/>
        <color indexed="8"/>
        <rFont val="Arial"/>
        <family val="2"/>
      </rPr>
      <t>NL</t>
    </r>
    <r>
      <rPr>
        <sz val="12"/>
        <color theme="1"/>
        <rFont val="Arial"/>
        <family val="2"/>
      </rPr>
      <t xml:space="preserve"> (Steel Core)</t>
    </r>
  </si>
  <si>
    <t>W</t>
  </si>
  <si>
    <r>
      <t>Guaranteed no-load losses, P</t>
    </r>
    <r>
      <rPr>
        <vertAlign val="subscript"/>
        <sz val="12"/>
        <color indexed="8"/>
        <rFont val="Arial"/>
        <family val="2"/>
      </rPr>
      <t>NL</t>
    </r>
    <r>
      <rPr>
        <sz val="12"/>
        <color theme="1"/>
        <rFont val="Arial"/>
        <family val="2"/>
      </rPr>
      <t xml:space="preserve"> (only if Amorphous Core is offered)</t>
    </r>
  </si>
  <si>
    <r>
      <t>Guaranteed load losses, P</t>
    </r>
    <r>
      <rPr>
        <vertAlign val="subscript"/>
        <sz val="12"/>
        <color indexed="8"/>
        <rFont val="Arial"/>
        <family val="2"/>
      </rPr>
      <t>LL</t>
    </r>
  </si>
  <si>
    <t>%</t>
  </si>
  <si>
    <r>
      <t xml:space="preserve">Audio-sound level </t>
    </r>
    <r>
      <rPr>
        <sz val="12"/>
        <color indexed="8"/>
        <rFont val="Arial"/>
        <family val="2"/>
      </rPr>
      <t>(clause 8.5.3 of SANS 780)</t>
    </r>
  </si>
  <si>
    <t>db(A)</t>
  </si>
  <si>
    <t>MV winding wire</t>
  </si>
  <si>
    <t>3.3.2</t>
  </si>
  <si>
    <t>3.3.3</t>
  </si>
  <si>
    <t>Figure 12</t>
  </si>
  <si>
    <t>kg</t>
  </si>
  <si>
    <t>l</t>
  </si>
  <si>
    <t>3.3.4</t>
  </si>
  <si>
    <t>17.2.1</t>
  </si>
  <si>
    <t>17.2.2</t>
  </si>
  <si>
    <t>17.2.3</t>
  </si>
  <si>
    <t>17.2.4</t>
  </si>
  <si>
    <t>3.3.5</t>
  </si>
  <si>
    <t>Figure 15</t>
  </si>
  <si>
    <t>3.3.6</t>
  </si>
  <si>
    <t>3.3.7</t>
  </si>
  <si>
    <t>3.3.8</t>
  </si>
  <si>
    <t>Figure 17</t>
  </si>
  <si>
    <r>
      <t xml:space="preserve">All Type Tests in Accordance with SANS 780:
</t>
    </r>
    <r>
      <rPr>
        <sz val="12"/>
        <color theme="1"/>
        <rFont val="Arial"/>
        <family val="2"/>
      </rPr>
      <t>• Temperature rise test 
• Dielectric type test
• Tank stiffness test 
• Corrugated tank fatigue test
• Equivalent disturbing current test (This test is only applicable to SWER transformers)
• Short Circuit Withstand Test
• Natural ageing and pollution performance test</t>
    </r>
  </si>
  <si>
    <r>
      <t xml:space="preserve">All Routine Tests in Accordance with SANS 780:
</t>
    </r>
    <r>
      <rPr>
        <sz val="12"/>
        <color theme="1"/>
        <rFont val="Arial"/>
        <family val="2"/>
      </rPr>
      <t xml:space="preserve">• Measurement of winding resistance
• Measurement of voltage ratio and phase displacement
• Measurement of short-circuit impedance and load loss
• Measurement of no-load loss and current
• Separate source voltage test
• Induced overvoltage test
• Measurement of paint thickness
• Test for effectiveness of sealing
• Measurement of secondary voltage across outer two terminals to be 484 V. (Only applicable to dual-phase transformers.) 
• Measurement of insulation resistance test
• Reactance (%)
• Dielectric routine tests
• Vector group test </t>
    </r>
  </si>
  <si>
    <t>Deviation schedule</t>
  </si>
  <si>
    <t xml:space="preserve">Specification: DSP 240-45395762 Rev.4  Enquiry no.: </t>
  </si>
  <si>
    <t xml:space="preserve">SAP No.: </t>
  </si>
  <si>
    <t xml:space="preserve"> BIDDER TO STATE SAP NUMBER</t>
  </si>
  <si>
    <t>Any deviations offered to this specification shall be listed below with reasons for deviation.  In addition, evidence shall be provided that the proposed deviation will at least be more cost-effective that that specified by Eskom.</t>
  </si>
  <si>
    <t>Clause</t>
  </si>
  <si>
    <t>Description of Deviation</t>
  </si>
  <si>
    <t>SUPPLIER SIGNATURES</t>
  </si>
  <si>
    <t xml:space="preserve">         </t>
  </si>
  <si>
    <t>Name (Print)</t>
  </si>
  <si>
    <t>Company Name</t>
  </si>
  <si>
    <t>Sign</t>
  </si>
  <si>
    <t>Date</t>
  </si>
  <si>
    <r>
      <rPr>
        <b/>
        <sz val="12"/>
        <color rgb="FF000000"/>
        <rFont val="Arial"/>
      </rPr>
      <t xml:space="preserve">Audio-sound level </t>
    </r>
    <r>
      <rPr>
        <sz val="12"/>
        <color rgb="FF000000"/>
        <rFont val="Arial"/>
      </rPr>
      <t>(SANS 780)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</si>
</sst>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Arial Narrow"/>
      <family val="2"/>
    </font>
    <font>
      <b/>
      <sz val="13"/>
      <name val="Arial"/>
      <family val="2"/>
    </font>
    <font>
      <b/>
      <sz val="14"/>
      <name val="Arial"/>
      <family val="2"/>
    </font>
    <font>
      <b/>
      <sz val="14"/>
      <color rgb="FFFF0000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sz val="9"/>
      <color theme="1"/>
      <name val="Calibri"/>
      <family val="2"/>
      <scheme val="minor"/>
    </font>
    <font>
      <b/>
      <sz val="12"/>
      <color rgb="FF000000"/>
      <name val="Arial"/>
    </font>
    <font>
      <sz val="12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18">
    <xf numFmtId="0" fontId="0" fillId="0" borderId="0" xfId="0"/>
    <xf numFmtId="0" fontId="2" fillId="2" borderId="0" xfId="0" applyFont="1" applyFill="1"/>
    <xf numFmtId="0" fontId="1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4" borderId="1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right"/>
    </xf>
    <xf numFmtId="0" fontId="7" fillId="0" borderId="24" xfId="0" applyFont="1" applyBorder="1"/>
    <xf numFmtId="49" fontId="10" fillId="0" borderId="24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 wrapText="1"/>
    </xf>
    <xf numFmtId="0" fontId="0" fillId="0" borderId="24" xfId="0" applyBorder="1"/>
    <xf numFmtId="0" fontId="14" fillId="0" borderId="4" xfId="1" applyFont="1" applyBorder="1" applyAlignment="1">
      <alignment horizontal="center" vertical="top" wrapText="1"/>
    </xf>
    <xf numFmtId="0" fontId="5" fillId="5" borderId="14" xfId="1" applyFill="1" applyBorder="1" applyProtection="1">
      <protection locked="0"/>
    </xf>
    <xf numFmtId="0" fontId="5" fillId="5" borderId="11" xfId="1" applyFill="1" applyBorder="1" applyProtection="1">
      <protection locked="0"/>
    </xf>
    <xf numFmtId="0" fontId="5" fillId="5" borderId="21" xfId="1" applyFill="1" applyBorder="1" applyProtection="1">
      <protection locked="0"/>
    </xf>
    <xf numFmtId="0" fontId="15" fillId="0" borderId="0" xfId="1" applyFont="1" applyAlignment="1">
      <alignment vertical="top"/>
    </xf>
    <xf numFmtId="0" fontId="15" fillId="0" borderId="0" xfId="1" applyFont="1" applyAlignment="1">
      <alignment horizontal="right" vertical="top"/>
    </xf>
    <xf numFmtId="0" fontId="15" fillId="0" borderId="0" xfId="1" applyFont="1" applyAlignment="1">
      <alignment horizontal="center" vertical="top"/>
    </xf>
    <xf numFmtId="0" fontId="5" fillId="0" borderId="0" xfId="1" applyAlignment="1">
      <alignment vertical="top" wrapText="1"/>
    </xf>
    <xf numFmtId="0" fontId="5" fillId="0" borderId="0" xfId="1" applyAlignment="1">
      <alignment horizontal="right" vertical="top" wrapText="1"/>
    </xf>
    <xf numFmtId="0" fontId="5" fillId="0" borderId="0" xfId="1" applyAlignment="1">
      <alignment horizontal="center" vertical="top" wrapText="1"/>
    </xf>
    <xf numFmtId="0" fontId="15" fillId="0" borderId="0" xfId="1" applyFont="1" applyAlignment="1">
      <alignment vertical="top" wrapText="1"/>
    </xf>
    <xf numFmtId="0" fontId="0" fillId="0" borderId="0" xfId="0" applyAlignment="1">
      <alignment horizontal="center"/>
    </xf>
    <xf numFmtId="0" fontId="14" fillId="0" borderId="0" xfId="1" applyFont="1" applyAlignment="1">
      <alignment horizontal="left" vertical="top" wrapText="1"/>
    </xf>
    <xf numFmtId="0" fontId="0" fillId="3" borderId="0" xfId="0" applyFill="1"/>
    <xf numFmtId="0" fontId="0" fillId="8" borderId="0" xfId="0" applyFill="1"/>
    <xf numFmtId="0" fontId="0" fillId="8" borderId="0" xfId="0" applyFill="1" applyAlignment="1">
      <alignment horizontal="right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2" borderId="32" xfId="0" applyFill="1" applyBorder="1"/>
    <xf numFmtId="0" fontId="0" fillId="2" borderId="33" xfId="0" applyFill="1" applyBorder="1"/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/>
    <xf numFmtId="0" fontId="0" fillId="2" borderId="35" xfId="0" applyFill="1" applyBorder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36" xfId="0" applyFill="1" applyBorder="1"/>
    <xf numFmtId="0" fontId="7" fillId="2" borderId="35" xfId="0" applyFont="1" applyFill="1" applyBorder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36" xfId="0" applyFont="1" applyFill="1" applyBorder="1" applyAlignment="1">
      <alignment vertical="center"/>
    </xf>
    <xf numFmtId="0" fontId="7" fillId="3" borderId="0" xfId="0" applyFont="1" applyFill="1" applyAlignment="1" applyProtection="1">
      <alignment horizontal="center"/>
      <protection locked="0"/>
    </xf>
    <xf numFmtId="0" fontId="2" fillId="2" borderId="35" xfId="0" applyFont="1" applyFill="1" applyBorder="1"/>
    <xf numFmtId="0" fontId="2" fillId="2" borderId="3" xfId="0" applyFont="1" applyFill="1" applyBorder="1"/>
    <xf numFmtId="0" fontId="17" fillId="2" borderId="2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4" borderId="7" xfId="0" applyFont="1" applyFill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20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4" borderId="14" xfId="0" applyFont="1" applyFill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4" borderId="21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/>
    <xf numFmtId="0" fontId="7" fillId="0" borderId="0" xfId="0" applyFont="1" applyAlignment="1">
      <alignment horizontal="right"/>
    </xf>
    <xf numFmtId="0" fontId="7" fillId="6" borderId="0" xfId="0" applyFont="1" applyFill="1"/>
    <xf numFmtId="0" fontId="7" fillId="7" borderId="0" xfId="0" applyFont="1" applyFill="1"/>
    <xf numFmtId="0" fontId="7" fillId="8" borderId="0" xfId="0" applyFont="1" applyFill="1"/>
    <xf numFmtId="0" fontId="21" fillId="2" borderId="0" xfId="0" applyFont="1" applyFill="1" applyAlignment="1">
      <alignment horizontal="center"/>
    </xf>
    <xf numFmtId="0" fontId="8" fillId="3" borderId="0" xfId="0" applyFont="1" applyFill="1"/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10" xfId="0" quotePrefix="1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3" fontId="0" fillId="0" borderId="0" xfId="0" applyNumberForma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24" xfId="0" applyFont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36" xfId="0" applyFill="1" applyBorder="1" applyAlignment="1">
      <alignment horizontal="left"/>
    </xf>
    <xf numFmtId="0" fontId="16" fillId="2" borderId="0" xfId="0" applyFont="1" applyFill="1" applyAlignment="1">
      <alignment horizontal="center" wrapText="1"/>
    </xf>
    <xf numFmtId="0" fontId="16" fillId="2" borderId="36" xfId="0" applyFont="1" applyFill="1" applyBorder="1" applyAlignment="1">
      <alignment horizontal="center" wrapText="1"/>
    </xf>
    <xf numFmtId="0" fontId="16" fillId="2" borderId="3" xfId="0" applyFont="1" applyFill="1" applyBorder="1" applyAlignment="1">
      <alignment horizontal="center" wrapText="1"/>
    </xf>
    <xf numFmtId="0" fontId="16" fillId="2" borderId="38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5" fillId="5" borderId="27" xfId="1" applyFill="1" applyBorder="1" applyAlignment="1" applyProtection="1">
      <alignment horizontal="center"/>
      <protection locked="0"/>
    </xf>
    <xf numFmtId="0" fontId="5" fillId="5" borderId="28" xfId="1" applyFill="1" applyBorder="1" applyAlignment="1" applyProtection="1">
      <alignment horizontal="center"/>
      <protection locked="0"/>
    </xf>
    <xf numFmtId="0" fontId="11" fillId="0" borderId="0" xfId="1" applyFont="1" applyAlignment="1">
      <alignment horizontal="center"/>
    </xf>
    <xf numFmtId="0" fontId="12" fillId="0" borderId="0" xfId="1" applyFont="1" applyAlignment="1">
      <alignment horizontal="center" vertical="top" wrapText="1"/>
    </xf>
    <xf numFmtId="0" fontId="12" fillId="0" borderId="3" xfId="1" applyFont="1" applyBorder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5" fillId="0" borderId="1" xfId="1" applyBorder="1" applyAlignment="1">
      <alignment horizontal="center" vertical="top" wrapText="1"/>
    </xf>
    <xf numFmtId="0" fontId="5" fillId="0" borderId="5" xfId="1" applyBorder="1" applyAlignment="1">
      <alignment horizontal="center" vertical="top" wrapText="1"/>
    </xf>
    <xf numFmtId="0" fontId="5" fillId="0" borderId="2" xfId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5" xfId="1" applyFont="1" applyBorder="1" applyAlignment="1">
      <alignment horizontal="left" vertical="top" wrapText="1"/>
    </xf>
    <xf numFmtId="0" fontId="14" fillId="0" borderId="2" xfId="1" applyFont="1" applyBorder="1" applyAlignment="1">
      <alignment horizontal="left" vertical="top" wrapText="1"/>
    </xf>
    <xf numFmtId="0" fontId="5" fillId="5" borderId="25" xfId="1" applyFill="1" applyBorder="1" applyAlignment="1" applyProtection="1">
      <alignment horizontal="center"/>
      <protection locked="0"/>
    </xf>
    <xf numFmtId="0" fontId="5" fillId="5" borderId="26" xfId="1" applyFill="1" applyBorder="1" applyAlignment="1" applyProtection="1">
      <alignment horizontal="center"/>
      <protection locked="0"/>
    </xf>
    <xf numFmtId="0" fontId="5" fillId="5" borderId="29" xfId="1" applyFill="1" applyBorder="1" applyAlignment="1" applyProtection="1">
      <alignment horizontal="center"/>
      <protection locked="0"/>
    </xf>
    <xf numFmtId="0" fontId="5" fillId="5" borderId="30" xfId="1" applyFill="1" applyBorder="1" applyAlignment="1" applyProtection="1">
      <alignment horizontal="center"/>
      <protection locked="0"/>
    </xf>
    <xf numFmtId="0" fontId="15" fillId="0" borderId="0" xfId="1" applyFont="1" applyAlignment="1">
      <alignment horizontal="center" vertical="top"/>
    </xf>
    <xf numFmtId="0" fontId="14" fillId="0" borderId="31" xfId="1" applyFont="1" applyBorder="1" applyAlignment="1">
      <alignment horizontal="center" vertical="top" wrapText="1"/>
    </xf>
    <xf numFmtId="0" fontId="22" fillId="0" borderId="12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2FB71397-8B21-41C3-88A9-87DF507FDDB9}"/>
  </cellStyles>
  <dxfs count="4">
    <dxf>
      <fill>
        <patternFill>
          <bgColor indexed="45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231322</xdr:colOff>
      <xdr:row>1</xdr:row>
      <xdr:rowOff>149678</xdr:rowOff>
    </xdr:from>
    <xdr:to>
      <xdr:col>3</xdr:col>
      <xdr:colOff>240847</xdr:colOff>
      <xdr:row>5</xdr:row>
      <xdr:rowOff>73478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D2FF8254-E93D-4AE2-8476-5AACC438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922" y="340178"/>
          <a:ext cx="1754505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2</xdr:row>
      <xdr:rowOff>123825</xdr:rowOff>
    </xdr:from>
    <xdr:to>
      <xdr:col>8</xdr:col>
      <xdr:colOff>9525</xdr:colOff>
      <xdr:row>2</xdr:row>
      <xdr:rowOff>123825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ECA79DE7-9A1C-45C6-A3CB-A4D73293FDEA}"/>
            </a:ext>
          </a:extLst>
        </xdr:cNvPr>
        <xdr:cNvCxnSpPr/>
      </xdr:nvCxnSpPr>
      <xdr:spPr>
        <a:xfrm flipH="1">
          <a:off x="7541895" y="558165"/>
          <a:ext cx="880110" cy="0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231322</xdr:colOff>
      <xdr:row>1</xdr:row>
      <xdr:rowOff>149678</xdr:rowOff>
    </xdr:from>
    <xdr:to>
      <xdr:col>3</xdr:col>
      <xdr:colOff>240847</xdr:colOff>
      <xdr:row>5</xdr:row>
      <xdr:rowOff>73478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331A2CA3-47E6-4F97-AD6D-9070757F5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922" y="340178"/>
          <a:ext cx="1754505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231322</xdr:colOff>
      <xdr:row>1</xdr:row>
      <xdr:rowOff>149678</xdr:rowOff>
    </xdr:from>
    <xdr:to>
      <xdr:col>3</xdr:col>
      <xdr:colOff>240847</xdr:colOff>
      <xdr:row>5</xdr:row>
      <xdr:rowOff>73478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D3F150ED-C3D8-4392-9BC1-D409232C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922" y="340178"/>
          <a:ext cx="1754505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231322</xdr:colOff>
      <xdr:row>1</xdr:row>
      <xdr:rowOff>149678</xdr:rowOff>
    </xdr:from>
    <xdr:to>
      <xdr:col>3</xdr:col>
      <xdr:colOff>240847</xdr:colOff>
      <xdr:row>5</xdr:row>
      <xdr:rowOff>73478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6D8A9467-DA8D-412B-B2A8-C76E7B513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922" y="340178"/>
          <a:ext cx="1754505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231322</xdr:colOff>
      <xdr:row>1</xdr:row>
      <xdr:rowOff>149678</xdr:rowOff>
    </xdr:from>
    <xdr:to>
      <xdr:col>3</xdr:col>
      <xdr:colOff>240847</xdr:colOff>
      <xdr:row>5</xdr:row>
      <xdr:rowOff>73478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C1914832-75AB-4A93-86E1-4114EAC27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922" y="340178"/>
          <a:ext cx="1754505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231322</xdr:colOff>
      <xdr:row>1</xdr:row>
      <xdr:rowOff>149678</xdr:rowOff>
    </xdr:from>
    <xdr:to>
      <xdr:col>3</xdr:col>
      <xdr:colOff>240847</xdr:colOff>
      <xdr:row>5</xdr:row>
      <xdr:rowOff>73478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BAAA0790-3979-4973-9578-56207C5F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922" y="340178"/>
          <a:ext cx="1754505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231322</xdr:colOff>
      <xdr:row>1</xdr:row>
      <xdr:rowOff>149678</xdr:rowOff>
    </xdr:from>
    <xdr:to>
      <xdr:col>3</xdr:col>
      <xdr:colOff>240847</xdr:colOff>
      <xdr:row>5</xdr:row>
      <xdr:rowOff>73478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BFD3CC3A-A5B6-4F52-BDCC-72DB3736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922" y="340178"/>
          <a:ext cx="1754505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231322</xdr:colOff>
      <xdr:row>1</xdr:row>
      <xdr:rowOff>149678</xdr:rowOff>
    </xdr:from>
    <xdr:to>
      <xdr:col>3</xdr:col>
      <xdr:colOff>240847</xdr:colOff>
      <xdr:row>5</xdr:row>
      <xdr:rowOff>73478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CC613DEE-8262-456D-B16D-A55D52885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922" y="340178"/>
          <a:ext cx="1754505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231322</xdr:colOff>
      <xdr:row>1</xdr:row>
      <xdr:rowOff>149678</xdr:rowOff>
    </xdr:from>
    <xdr:to>
      <xdr:col>3</xdr:col>
      <xdr:colOff>240847</xdr:colOff>
      <xdr:row>5</xdr:row>
      <xdr:rowOff>73478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9553963E-2D71-431A-A013-0773C104F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922" y="340178"/>
          <a:ext cx="1754505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231322</xdr:colOff>
      <xdr:row>1</xdr:row>
      <xdr:rowOff>149678</xdr:rowOff>
    </xdr:from>
    <xdr:to>
      <xdr:col>3</xdr:col>
      <xdr:colOff>240847</xdr:colOff>
      <xdr:row>5</xdr:row>
      <xdr:rowOff>73478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A4F060C7-DE59-46D9-B557-9CE1982C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922" y="340178"/>
          <a:ext cx="1754505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231322</xdr:colOff>
      <xdr:row>1</xdr:row>
      <xdr:rowOff>149678</xdr:rowOff>
    </xdr:from>
    <xdr:to>
      <xdr:col>3</xdr:col>
      <xdr:colOff>240847</xdr:colOff>
      <xdr:row>5</xdr:row>
      <xdr:rowOff>73478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28D4CD1D-E56D-42CC-9013-ED78933FA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922" y="340178"/>
          <a:ext cx="1754505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231322</xdr:colOff>
      <xdr:row>1</xdr:row>
      <xdr:rowOff>149678</xdr:rowOff>
    </xdr:from>
    <xdr:to>
      <xdr:col>3</xdr:col>
      <xdr:colOff>240847</xdr:colOff>
      <xdr:row>5</xdr:row>
      <xdr:rowOff>73478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DC97DBC8-2126-4BB2-9345-83A276534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922" y="340178"/>
          <a:ext cx="1754505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231322</xdr:colOff>
      <xdr:row>1</xdr:row>
      <xdr:rowOff>149678</xdr:rowOff>
    </xdr:from>
    <xdr:to>
      <xdr:col>3</xdr:col>
      <xdr:colOff>240847</xdr:colOff>
      <xdr:row>5</xdr:row>
      <xdr:rowOff>73478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217340AB-AE06-4B3F-8A8B-97A4FC63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922" y="340178"/>
          <a:ext cx="1754505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50B0-0A1C-476A-9EE3-03E5065E0EF3}">
  <sheetPr>
    <tabColor rgb="FFFF0000"/>
  </sheetPr>
  <dimension ref="A1:C30"/>
  <sheetViews>
    <sheetView topLeftCell="A16" zoomScaleNormal="100" workbookViewId="0">
      <selection activeCell="B4" sqref="B4"/>
    </sheetView>
  </sheetViews>
  <sheetFormatPr defaultRowHeight="14.45"/>
  <cols>
    <col min="1" max="1" width="12.42578125" customWidth="1"/>
    <col min="2" max="2" width="47" customWidth="1"/>
    <col min="3" max="3" width="73.85546875" customWidth="1"/>
  </cols>
  <sheetData>
    <row r="1" spans="1:3">
      <c r="A1" s="88" t="s">
        <v>0</v>
      </c>
      <c r="B1" s="88"/>
      <c r="C1" s="88"/>
    </row>
    <row r="2" spans="1:3">
      <c r="A2" s="5">
        <v>1</v>
      </c>
      <c r="B2" t="s">
        <v>1</v>
      </c>
    </row>
    <row r="3" spans="1:3">
      <c r="A3" s="5">
        <v>1.1000000000000001</v>
      </c>
      <c r="B3" t="s">
        <v>2</v>
      </c>
    </row>
    <row r="4" spans="1:3">
      <c r="A4" s="5">
        <v>2</v>
      </c>
      <c r="B4" t="s">
        <v>3</v>
      </c>
    </row>
    <row r="5" spans="1:3">
      <c r="A5" s="5">
        <v>3</v>
      </c>
      <c r="B5" t="s">
        <v>4</v>
      </c>
    </row>
    <row r="6" spans="1:3">
      <c r="A6" s="5">
        <v>4</v>
      </c>
      <c r="B6" t="s">
        <v>5</v>
      </c>
    </row>
    <row r="7" spans="1:3">
      <c r="A7" s="5">
        <v>5</v>
      </c>
      <c r="B7" t="s">
        <v>6</v>
      </c>
    </row>
    <row r="8" spans="1:3">
      <c r="A8" s="5">
        <v>6</v>
      </c>
      <c r="B8" t="s">
        <v>7</v>
      </c>
    </row>
    <row r="10" spans="1:3">
      <c r="A10" s="88" t="s">
        <v>8</v>
      </c>
      <c r="B10" s="88"/>
      <c r="C10" s="88"/>
    </row>
    <row r="11" spans="1:3">
      <c r="B11" t="s">
        <v>9</v>
      </c>
    </row>
    <row r="13" spans="1:3">
      <c r="A13" s="89" t="s">
        <v>10</v>
      </c>
      <c r="B13" s="89"/>
      <c r="C13" s="89"/>
    </row>
    <row r="14" spans="1:3">
      <c r="A14" s="6" t="s">
        <v>11</v>
      </c>
      <c r="B14" t="s">
        <v>12</v>
      </c>
    </row>
    <row r="17" spans="1:3">
      <c r="A17" s="90" t="s">
        <v>13</v>
      </c>
      <c r="B17" s="90"/>
      <c r="C17" s="90"/>
    </row>
    <row r="18" spans="1:3">
      <c r="A18" s="7" t="s">
        <v>14</v>
      </c>
      <c r="B18" s="7" t="s">
        <v>15</v>
      </c>
      <c r="C18" s="7" t="s">
        <v>16</v>
      </c>
    </row>
    <row r="19" spans="1:3">
      <c r="A19" s="8" t="s">
        <v>17</v>
      </c>
      <c r="B19" s="9" t="s">
        <v>18</v>
      </c>
      <c r="C19" s="10" t="s">
        <v>19</v>
      </c>
    </row>
    <row r="20" spans="1:3">
      <c r="A20" s="8" t="s">
        <v>20</v>
      </c>
      <c r="B20" s="9" t="s">
        <v>21</v>
      </c>
      <c r="C20" s="10" t="s">
        <v>22</v>
      </c>
    </row>
    <row r="21" spans="1:3">
      <c r="A21" s="8" t="s">
        <v>23</v>
      </c>
      <c r="B21" s="9" t="s">
        <v>24</v>
      </c>
      <c r="C21" s="10" t="s">
        <v>25</v>
      </c>
    </row>
    <row r="22" spans="1:3">
      <c r="A22" s="8" t="s">
        <v>26</v>
      </c>
      <c r="B22" s="9" t="s">
        <v>27</v>
      </c>
      <c r="C22" s="10" t="s">
        <v>28</v>
      </c>
    </row>
    <row r="23" spans="1:3">
      <c r="A23" s="8" t="s">
        <v>29</v>
      </c>
      <c r="B23" s="9" t="s">
        <v>30</v>
      </c>
      <c r="C23" s="10" t="s">
        <v>31</v>
      </c>
    </row>
    <row r="24" spans="1:3">
      <c r="A24" s="8" t="s">
        <v>32</v>
      </c>
      <c r="B24" s="9" t="s">
        <v>33</v>
      </c>
      <c r="C24" s="10" t="s">
        <v>34</v>
      </c>
    </row>
    <row r="25" spans="1:3">
      <c r="A25" s="8" t="s">
        <v>35</v>
      </c>
      <c r="B25" s="9" t="s">
        <v>36</v>
      </c>
      <c r="C25" s="10" t="s">
        <v>37</v>
      </c>
    </row>
    <row r="26" spans="1:3">
      <c r="A26" s="8" t="s">
        <v>38</v>
      </c>
      <c r="B26" s="9" t="s">
        <v>39</v>
      </c>
      <c r="C26" s="10" t="s">
        <v>40</v>
      </c>
    </row>
    <row r="27" spans="1:3">
      <c r="A27" s="8" t="s">
        <v>41</v>
      </c>
      <c r="B27" s="9" t="s">
        <v>42</v>
      </c>
      <c r="C27" s="10" t="s">
        <v>43</v>
      </c>
    </row>
    <row r="28" spans="1:3">
      <c r="A28" s="8" t="s">
        <v>44</v>
      </c>
      <c r="B28" s="9" t="s">
        <v>45</v>
      </c>
      <c r="C28" s="10" t="s">
        <v>46</v>
      </c>
    </row>
    <row r="29" spans="1:3">
      <c r="A29" s="8" t="s">
        <v>47</v>
      </c>
      <c r="B29" s="9" t="s">
        <v>48</v>
      </c>
      <c r="C29" s="10" t="s">
        <v>49</v>
      </c>
    </row>
    <row r="30" spans="1:3">
      <c r="A30" s="8" t="s">
        <v>50</v>
      </c>
      <c r="B30" s="9" t="s">
        <v>51</v>
      </c>
      <c r="C30" s="10" t="s">
        <v>52</v>
      </c>
    </row>
  </sheetData>
  <sortState xmlns:xlrd2="http://schemas.microsoft.com/office/spreadsheetml/2017/richdata2" ref="A19:B33">
    <sortCondition ref="B22:B33"/>
  </sortState>
  <mergeCells count="4">
    <mergeCell ref="A1:C1"/>
    <mergeCell ref="A10:C10"/>
    <mergeCell ref="A13:C13"/>
    <mergeCell ref="A17:C17"/>
  </mergeCells>
  <pageMargins left="0.7" right="0.7" top="0.75" bottom="0.75" header="0.3" footer="0.3"/>
  <pageSetup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C2C10-2694-482E-9C4F-0FB021772BDE}">
  <sheetPr>
    <tabColor rgb="FFFF0000"/>
  </sheetPr>
  <dimension ref="A1:EU15"/>
  <sheetViews>
    <sheetView zoomScaleNormal="100" workbookViewId="0">
      <pane xSplit="1" ySplit="1" topLeftCell="BT2" activePane="bottomRight" state="frozen"/>
      <selection pane="bottomRight" activeCell="BU2" sqref="BU2:BV13"/>
      <selection pane="bottomLeft" activeCell="A2" sqref="A2"/>
      <selection pane="topRight" activeCell="B1" sqref="B1"/>
    </sheetView>
  </sheetViews>
  <sheetFormatPr defaultRowHeight="14.45"/>
  <cols>
    <col min="1" max="1" width="59.5703125" customWidth="1"/>
    <col min="2" max="2" width="13.140625" bestFit="1" customWidth="1"/>
    <col min="3" max="3" width="21.42578125" bestFit="1" customWidth="1"/>
    <col min="4" max="4" width="16.42578125" bestFit="1" customWidth="1"/>
    <col min="5" max="5" width="17.140625" customWidth="1"/>
    <col min="6" max="6" width="35.140625" bestFit="1" customWidth="1"/>
    <col min="7" max="7" width="56.85546875" bestFit="1" customWidth="1"/>
    <col min="8" max="8" width="28.28515625" bestFit="1" customWidth="1"/>
    <col min="9" max="9" width="28.28515625" customWidth="1"/>
    <col min="10" max="10" width="7.42578125" bestFit="1" customWidth="1"/>
    <col min="11" max="11" width="12.28515625" bestFit="1" customWidth="1"/>
    <col min="12" max="12" width="20.7109375" bestFit="1" customWidth="1"/>
    <col min="13" max="13" width="30.5703125" style="6" bestFit="1" customWidth="1"/>
    <col min="14" max="14" width="10.28515625" bestFit="1" customWidth="1"/>
    <col min="15" max="15" width="17.42578125" bestFit="1" customWidth="1"/>
    <col min="16" max="16" width="14.28515625" bestFit="1" customWidth="1"/>
    <col min="17" max="17" width="15.7109375" bestFit="1" customWidth="1"/>
    <col min="18" max="18" width="12" bestFit="1" customWidth="1"/>
    <col min="19" max="19" width="14.42578125" bestFit="1" customWidth="1"/>
    <col min="20" max="20" width="14.42578125" customWidth="1"/>
    <col min="21" max="21" width="41.85546875" bestFit="1" customWidth="1"/>
    <col min="22" max="22" width="44.5703125" bestFit="1" customWidth="1"/>
    <col min="23" max="23" width="27.140625" bestFit="1" customWidth="1"/>
    <col min="24" max="24" width="22" bestFit="1" customWidth="1"/>
    <col min="25" max="25" width="26.28515625" bestFit="1" customWidth="1"/>
    <col min="26" max="26" width="28.140625" bestFit="1" customWidth="1"/>
    <col min="27" max="27" width="23.7109375" bestFit="1" customWidth="1"/>
    <col min="28" max="28" width="24.5703125" bestFit="1" customWidth="1"/>
    <col min="29" max="29" width="30.28515625" customWidth="1"/>
    <col min="30" max="31" width="24.5703125" customWidth="1"/>
    <col min="32" max="32" width="19.28515625" bestFit="1" customWidth="1"/>
    <col min="33" max="33" width="47.7109375" bestFit="1" customWidth="1"/>
    <col min="34" max="34" width="43.42578125" bestFit="1" customWidth="1"/>
    <col min="35" max="36" width="12" bestFit="1" customWidth="1"/>
    <col min="37" max="37" width="19.42578125" bestFit="1" customWidth="1"/>
    <col min="38" max="38" width="8.28515625" bestFit="1" customWidth="1"/>
    <col min="39" max="39" width="13.5703125" bestFit="1" customWidth="1"/>
    <col min="40" max="40" width="34" bestFit="1" customWidth="1"/>
    <col min="41" max="41" width="12" bestFit="1" customWidth="1"/>
    <col min="42" max="42" width="12.5703125" bestFit="1" customWidth="1"/>
    <col min="43" max="43" width="22.7109375" bestFit="1" customWidth="1"/>
    <col min="44" max="44" width="24.7109375" bestFit="1" customWidth="1"/>
    <col min="45" max="45" width="9.28515625" bestFit="1" customWidth="1"/>
    <col min="46" max="46" width="9.85546875" bestFit="1" customWidth="1"/>
    <col min="47" max="47" width="14.28515625" bestFit="1" customWidth="1"/>
    <col min="48" max="48" width="35.140625" bestFit="1" customWidth="1"/>
    <col min="49" max="49" width="12" bestFit="1" customWidth="1"/>
    <col min="50" max="50" width="12.5703125" bestFit="1" customWidth="1"/>
    <col min="51" max="51" width="22.7109375" bestFit="1" customWidth="1"/>
    <col min="52" max="52" width="24.7109375" bestFit="1" customWidth="1"/>
    <col min="53" max="53" width="9.28515625" bestFit="1" customWidth="1"/>
    <col min="54" max="54" width="9.85546875" bestFit="1" customWidth="1"/>
    <col min="55" max="55" width="14.28515625" bestFit="1" customWidth="1"/>
    <col min="56" max="62" width="14.28515625" customWidth="1"/>
    <col min="63" max="63" width="11.42578125" bestFit="1" customWidth="1"/>
    <col min="64" max="64" width="11.42578125" customWidth="1"/>
    <col min="65" max="65" width="12" bestFit="1" customWidth="1"/>
    <col min="66" max="66" width="12.5703125" bestFit="1" customWidth="1"/>
    <col min="67" max="67" width="22.7109375" bestFit="1" customWidth="1"/>
    <col min="68" max="68" width="14.28515625" bestFit="1" customWidth="1"/>
    <col min="69" max="69" width="17.7109375" bestFit="1" customWidth="1"/>
    <col min="70" max="70" width="86" bestFit="1" customWidth="1"/>
    <col min="71" max="71" width="6.7109375" bestFit="1" customWidth="1"/>
    <col min="72" max="72" width="31.7109375" bestFit="1" customWidth="1"/>
    <col min="73" max="73" width="24.140625" bestFit="1" customWidth="1"/>
    <col min="74" max="74" width="19.140625" bestFit="1" customWidth="1"/>
    <col min="75" max="75" width="29.7109375" bestFit="1" customWidth="1"/>
    <col min="76" max="76" width="26" bestFit="1" customWidth="1"/>
    <col min="77" max="77" width="28.42578125" bestFit="1" customWidth="1"/>
    <col min="78" max="78" width="29" bestFit="1" customWidth="1"/>
    <col min="79" max="79" width="11" bestFit="1" customWidth="1"/>
    <col min="80" max="80" width="41.140625" bestFit="1" customWidth="1"/>
    <col min="81" max="81" width="45.28515625" bestFit="1" customWidth="1"/>
    <col min="82" max="82" width="16.140625" bestFit="1" customWidth="1"/>
    <col min="83" max="83" width="21.140625" bestFit="1" customWidth="1"/>
    <col min="84" max="84" width="28.28515625" bestFit="1" customWidth="1"/>
    <col min="85" max="85" width="15.28515625" bestFit="1" customWidth="1"/>
    <col min="86" max="86" width="21.140625" bestFit="1" customWidth="1"/>
    <col min="87" max="87" width="28.28515625" bestFit="1" customWidth="1"/>
    <col min="88" max="88" width="13.140625" bestFit="1" customWidth="1"/>
    <col min="89" max="89" width="18.140625" bestFit="1" customWidth="1"/>
    <col min="90" max="90" width="12" bestFit="1" customWidth="1"/>
    <col min="91" max="91" width="32" bestFit="1" customWidth="1"/>
    <col min="92" max="92" width="12" bestFit="1" customWidth="1"/>
    <col min="93" max="93" width="18.7109375" bestFit="1" customWidth="1"/>
    <col min="94" max="94" width="16.7109375" bestFit="1" customWidth="1"/>
    <col min="95" max="95" width="27.140625" bestFit="1" customWidth="1"/>
    <col min="96" max="96" width="23" bestFit="1" customWidth="1"/>
    <col min="97" max="97" width="27.28515625" bestFit="1" customWidth="1"/>
    <col min="98" max="99" width="7.28515625" bestFit="1" customWidth="1"/>
    <col min="100" max="100" width="6.85546875" bestFit="1" customWidth="1"/>
    <col min="101" max="101" width="12" bestFit="1" customWidth="1"/>
    <col min="102" max="102" width="34.7109375" customWidth="1"/>
    <col min="103" max="103" width="12" customWidth="1"/>
    <col min="104" max="104" width="21.42578125" bestFit="1" customWidth="1"/>
    <col min="105" max="105" width="47.42578125" bestFit="1" customWidth="1"/>
    <col min="106" max="106" width="24.85546875" bestFit="1" customWidth="1"/>
    <col min="107" max="107" width="40.85546875" bestFit="1" customWidth="1"/>
    <col min="108" max="108" width="41.7109375" bestFit="1" customWidth="1"/>
    <col min="109" max="109" width="53" bestFit="1" customWidth="1"/>
    <col min="110" max="110" width="14" bestFit="1" customWidth="1"/>
    <col min="111" max="111" width="13.28515625" bestFit="1" customWidth="1"/>
    <col min="112" max="112" width="14" bestFit="1" customWidth="1"/>
    <col min="113" max="113" width="23" bestFit="1" customWidth="1"/>
    <col min="114" max="114" width="21.42578125" bestFit="1" customWidth="1"/>
    <col min="115" max="115" width="22.5703125" bestFit="1" customWidth="1"/>
    <col min="116" max="116" width="31" bestFit="1" customWidth="1"/>
    <col min="117" max="117" width="4.140625" bestFit="1" customWidth="1"/>
    <col min="118" max="118" width="20" bestFit="1" customWidth="1"/>
    <col min="119" max="119" width="5.42578125" bestFit="1" customWidth="1"/>
    <col min="120" max="120" width="5.85546875" bestFit="1" customWidth="1"/>
    <col min="121" max="121" width="23" bestFit="1" customWidth="1"/>
    <col min="122" max="122" width="10.5703125" bestFit="1" customWidth="1"/>
    <col min="123" max="123" width="30.5703125" bestFit="1" customWidth="1"/>
    <col min="124" max="124" width="13.85546875" bestFit="1" customWidth="1"/>
    <col min="125" max="125" width="17.42578125" bestFit="1" customWidth="1"/>
    <col min="126" max="126" width="13.85546875" bestFit="1" customWidth="1"/>
    <col min="127" max="127" width="10.7109375" bestFit="1" customWidth="1"/>
    <col min="128" max="128" width="17.5703125" bestFit="1" customWidth="1"/>
    <col min="129" max="129" width="20.42578125" bestFit="1" customWidth="1"/>
    <col min="130" max="130" width="37.42578125" bestFit="1" customWidth="1"/>
    <col min="131" max="131" width="21.7109375" bestFit="1" customWidth="1"/>
    <col min="132" max="132" width="40.7109375" bestFit="1" customWidth="1"/>
    <col min="133" max="133" width="23" bestFit="1" customWidth="1"/>
    <col min="134" max="134" width="23.85546875" bestFit="1" customWidth="1"/>
    <col min="135" max="136" width="23.5703125" bestFit="1" customWidth="1"/>
    <col min="137" max="142" width="3.42578125" customWidth="1"/>
    <col min="143" max="143" width="42.140625" bestFit="1" customWidth="1"/>
    <col min="144" max="144" width="139.85546875" bestFit="1" customWidth="1"/>
    <col min="145" max="146" width="12" bestFit="1" customWidth="1"/>
    <col min="147" max="147" width="28.42578125" bestFit="1" customWidth="1"/>
    <col min="148" max="148" width="18" bestFit="1" customWidth="1"/>
    <col min="149" max="149" width="69.7109375" bestFit="1" customWidth="1"/>
    <col min="150" max="150" width="42.7109375" bestFit="1" customWidth="1"/>
    <col min="151" max="151" width="44.28515625" bestFit="1" customWidth="1"/>
  </cols>
  <sheetData>
    <row r="1" spans="1:151" s="5" customFormat="1">
      <c r="A1" s="5" t="s">
        <v>53</v>
      </c>
      <c r="B1" s="5" t="s">
        <v>54</v>
      </c>
      <c r="C1" s="5" t="s">
        <v>55</v>
      </c>
      <c r="D1" s="5" t="s">
        <v>56</v>
      </c>
      <c r="E1" s="71" t="s">
        <v>57</v>
      </c>
      <c r="F1" s="5" t="s">
        <v>58</v>
      </c>
      <c r="G1" s="5" t="s">
        <v>59</v>
      </c>
      <c r="H1" s="5" t="s">
        <v>60</v>
      </c>
      <c r="I1" s="5" t="s">
        <v>61</v>
      </c>
      <c r="J1" s="5" t="s">
        <v>62</v>
      </c>
      <c r="K1" s="5" t="s">
        <v>63</v>
      </c>
      <c r="L1" s="5" t="s">
        <v>64</v>
      </c>
      <c r="M1" s="72" t="s">
        <v>65</v>
      </c>
      <c r="N1" s="5" t="s">
        <v>66</v>
      </c>
      <c r="O1" s="5" t="s">
        <v>67</v>
      </c>
      <c r="P1" s="5" t="s">
        <v>68</v>
      </c>
      <c r="Q1" s="5" t="s">
        <v>69</v>
      </c>
      <c r="R1" s="5" t="s">
        <v>70</v>
      </c>
      <c r="S1" s="5" t="s">
        <v>71</v>
      </c>
      <c r="T1" s="5" t="s">
        <v>72</v>
      </c>
      <c r="U1" s="5" t="s">
        <v>73</v>
      </c>
      <c r="V1" s="5" t="s">
        <v>74</v>
      </c>
      <c r="W1" s="5" t="s">
        <v>75</v>
      </c>
      <c r="X1" s="5" t="s">
        <v>76</v>
      </c>
      <c r="Y1" s="5" t="s">
        <v>77</v>
      </c>
      <c r="Z1" s="5" t="s">
        <v>78</v>
      </c>
      <c r="AA1" s="5" t="s">
        <v>79</v>
      </c>
      <c r="AB1" s="5" t="s">
        <v>80</v>
      </c>
      <c r="AC1" s="73" t="s">
        <v>81</v>
      </c>
      <c r="AD1" s="73" t="s">
        <v>82</v>
      </c>
      <c r="AE1" s="73" t="s">
        <v>83</v>
      </c>
      <c r="AF1" s="5" t="s">
        <v>84</v>
      </c>
      <c r="AG1" s="5" t="s">
        <v>85</v>
      </c>
      <c r="AH1" s="5" t="s">
        <v>86</v>
      </c>
      <c r="AI1" s="5" t="s">
        <v>87</v>
      </c>
      <c r="AJ1" s="5" t="s">
        <v>88</v>
      </c>
      <c r="AK1" s="5" t="s">
        <v>89</v>
      </c>
      <c r="AL1" s="5" t="s">
        <v>90</v>
      </c>
      <c r="AM1" s="5" t="s">
        <v>91</v>
      </c>
      <c r="AN1" s="71" t="s">
        <v>92</v>
      </c>
      <c r="AO1" s="71" t="s">
        <v>93</v>
      </c>
      <c r="AP1" s="71" t="s">
        <v>94</v>
      </c>
      <c r="AQ1" s="71" t="s">
        <v>95</v>
      </c>
      <c r="AR1" s="71" t="s">
        <v>96</v>
      </c>
      <c r="AS1" s="71" t="s">
        <v>97</v>
      </c>
      <c r="AT1" s="71" t="s">
        <v>98</v>
      </c>
      <c r="AU1" s="71" t="s">
        <v>99</v>
      </c>
      <c r="AV1" s="5" t="s">
        <v>100</v>
      </c>
      <c r="AW1" s="5" t="s">
        <v>93</v>
      </c>
      <c r="AX1" s="5" t="s">
        <v>94</v>
      </c>
      <c r="AY1" s="5" t="s">
        <v>95</v>
      </c>
      <c r="AZ1" s="5" t="s">
        <v>96</v>
      </c>
      <c r="BA1" s="5" t="s">
        <v>97</v>
      </c>
      <c r="BB1" s="5" t="s">
        <v>98</v>
      </c>
      <c r="BC1" s="5" t="s">
        <v>99</v>
      </c>
      <c r="BD1" s="5" t="s">
        <v>101</v>
      </c>
      <c r="BE1" s="5" t="s">
        <v>93</v>
      </c>
      <c r="BF1" s="5" t="s">
        <v>94</v>
      </c>
      <c r="BG1" s="5" t="s">
        <v>95</v>
      </c>
      <c r="BH1" s="5" t="s">
        <v>96</v>
      </c>
      <c r="BI1" s="5" t="s">
        <v>97</v>
      </c>
      <c r="BJ1" s="5" t="s">
        <v>98</v>
      </c>
      <c r="BK1" s="5" t="s">
        <v>99</v>
      </c>
      <c r="BL1" s="5" t="s">
        <v>102</v>
      </c>
      <c r="BM1" s="5" t="s">
        <v>93</v>
      </c>
      <c r="BN1" s="5" t="s">
        <v>94</v>
      </c>
      <c r="BO1" s="5" t="s">
        <v>95</v>
      </c>
      <c r="BP1" s="5" t="s">
        <v>99</v>
      </c>
      <c r="BQ1" s="71" t="s">
        <v>103</v>
      </c>
      <c r="BR1" s="77" t="s">
        <v>104</v>
      </c>
      <c r="BS1" s="5" t="s">
        <v>105</v>
      </c>
      <c r="BT1" s="5" t="s">
        <v>106</v>
      </c>
      <c r="BU1" s="5" t="s">
        <v>107</v>
      </c>
      <c r="BV1" s="5" t="s">
        <v>108</v>
      </c>
      <c r="BW1" s="5" t="s">
        <v>109</v>
      </c>
      <c r="BX1" s="5" t="s">
        <v>110</v>
      </c>
      <c r="BY1" s="5" t="s">
        <v>111</v>
      </c>
      <c r="BZ1" s="5" t="s">
        <v>112</v>
      </c>
      <c r="CA1" s="5" t="s">
        <v>113</v>
      </c>
      <c r="CB1" s="5" t="s">
        <v>114</v>
      </c>
      <c r="CC1" s="5" t="s">
        <v>115</v>
      </c>
      <c r="CD1" s="5" t="s">
        <v>116</v>
      </c>
      <c r="CE1" s="5" t="s">
        <v>117</v>
      </c>
      <c r="CF1" s="5" t="s">
        <v>118</v>
      </c>
      <c r="CG1" s="5" t="s">
        <v>119</v>
      </c>
      <c r="CH1" s="5" t="s">
        <v>117</v>
      </c>
      <c r="CI1" s="5" t="s">
        <v>118</v>
      </c>
      <c r="CJ1" s="5" t="s">
        <v>120</v>
      </c>
      <c r="CK1" s="5" t="s">
        <v>121</v>
      </c>
      <c r="CL1" s="5" t="s">
        <v>122</v>
      </c>
      <c r="CM1" s="5" t="s">
        <v>123</v>
      </c>
      <c r="CN1" s="5" t="s">
        <v>124</v>
      </c>
      <c r="CO1" s="5" t="s">
        <v>125</v>
      </c>
      <c r="CP1" s="5" t="s">
        <v>126</v>
      </c>
      <c r="CQ1" s="5" t="s">
        <v>127</v>
      </c>
      <c r="CR1" s="5" t="s">
        <v>128</v>
      </c>
      <c r="CS1" s="5" t="s">
        <v>129</v>
      </c>
      <c r="CT1" s="5" t="s">
        <v>130</v>
      </c>
      <c r="CU1" s="5" t="s">
        <v>131</v>
      </c>
      <c r="CV1" s="5" t="s">
        <v>132</v>
      </c>
      <c r="CW1" s="5" t="s">
        <v>133</v>
      </c>
      <c r="CX1" s="74" t="s">
        <v>134</v>
      </c>
      <c r="CY1" s="74" t="s">
        <v>135</v>
      </c>
      <c r="CZ1" s="5" t="s">
        <v>136</v>
      </c>
      <c r="DA1" s="5" t="s">
        <v>137</v>
      </c>
      <c r="DB1" s="5" t="s">
        <v>138</v>
      </c>
      <c r="DC1" s="5" t="s">
        <v>139</v>
      </c>
      <c r="DD1" s="5" t="s">
        <v>140</v>
      </c>
      <c r="DE1" s="5" t="s">
        <v>141</v>
      </c>
      <c r="DF1" s="5" t="s">
        <v>142</v>
      </c>
      <c r="DG1" s="5" t="s">
        <v>143</v>
      </c>
      <c r="DH1" s="5" t="s">
        <v>144</v>
      </c>
      <c r="DI1" s="5" t="s">
        <v>145</v>
      </c>
      <c r="DJ1" s="5" t="s">
        <v>146</v>
      </c>
      <c r="DK1" s="5" t="s">
        <v>147</v>
      </c>
      <c r="DL1" s="5" t="s">
        <v>148</v>
      </c>
      <c r="DM1" s="5" t="s">
        <v>149</v>
      </c>
      <c r="DN1" s="5" t="s">
        <v>150</v>
      </c>
      <c r="DO1" s="5" t="s">
        <v>151</v>
      </c>
      <c r="DP1" s="5" t="s">
        <v>152</v>
      </c>
      <c r="DQ1" s="5" t="s">
        <v>145</v>
      </c>
      <c r="DR1" s="5" t="s">
        <v>153</v>
      </c>
      <c r="DS1" s="5" t="s">
        <v>154</v>
      </c>
      <c r="DT1" s="5" t="s">
        <v>155</v>
      </c>
      <c r="DU1" s="5" t="s">
        <v>156</v>
      </c>
      <c r="DV1" s="5" t="s">
        <v>157</v>
      </c>
      <c r="DW1" s="5" t="s">
        <v>158</v>
      </c>
      <c r="DX1" s="5" t="s">
        <v>159</v>
      </c>
      <c r="DY1" s="5" t="s">
        <v>160</v>
      </c>
      <c r="DZ1" s="5" t="s">
        <v>161</v>
      </c>
      <c r="EA1" s="5" t="s">
        <v>162</v>
      </c>
      <c r="EB1" s="5" t="s">
        <v>163</v>
      </c>
      <c r="EC1" s="5" t="s">
        <v>145</v>
      </c>
      <c r="ED1" s="5" t="s">
        <v>164</v>
      </c>
      <c r="EE1" s="5" t="s">
        <v>165</v>
      </c>
      <c r="EF1" s="5" t="s">
        <v>166</v>
      </c>
      <c r="EG1" s="71" t="s">
        <v>167</v>
      </c>
      <c r="EH1" s="71" t="s">
        <v>168</v>
      </c>
      <c r="EI1" s="71" t="s">
        <v>169</v>
      </c>
      <c r="EJ1" s="71" t="s">
        <v>170</v>
      </c>
      <c r="EK1" s="71" t="s">
        <v>171</v>
      </c>
      <c r="EL1" s="71" t="s">
        <v>172</v>
      </c>
      <c r="EM1" s="5" t="s">
        <v>173</v>
      </c>
      <c r="EN1" s="5" t="s">
        <v>174</v>
      </c>
      <c r="EO1" s="5" t="s">
        <v>169</v>
      </c>
      <c r="EP1" s="5" t="s">
        <v>170</v>
      </c>
      <c r="EQ1" s="5" t="s">
        <v>171</v>
      </c>
      <c r="ER1" s="5" t="s">
        <v>172</v>
      </c>
      <c r="ES1" s="5" t="s">
        <v>175</v>
      </c>
      <c r="ET1" s="5" t="s">
        <v>176</v>
      </c>
      <c r="EU1" s="75" t="s">
        <v>177</v>
      </c>
    </row>
    <row r="2" spans="1:151">
      <c r="A2" s="10" t="s">
        <v>19</v>
      </c>
      <c r="C2" t="s">
        <v>178</v>
      </c>
      <c r="D2" t="s">
        <v>178</v>
      </c>
      <c r="E2" s="24" t="s">
        <v>178</v>
      </c>
      <c r="F2" t="s">
        <v>178</v>
      </c>
      <c r="G2" t="s">
        <v>178</v>
      </c>
      <c r="H2" t="s">
        <v>178</v>
      </c>
      <c r="I2" t="s">
        <v>179</v>
      </c>
      <c r="K2">
        <v>50</v>
      </c>
      <c r="L2">
        <v>11</v>
      </c>
      <c r="M2" s="6">
        <v>19</v>
      </c>
      <c r="N2">
        <v>50</v>
      </c>
      <c r="O2" t="s">
        <v>180</v>
      </c>
      <c r="P2" t="s">
        <v>181</v>
      </c>
      <c r="R2">
        <v>95</v>
      </c>
      <c r="S2">
        <v>200</v>
      </c>
      <c r="T2">
        <v>30</v>
      </c>
      <c r="U2">
        <v>28</v>
      </c>
      <c r="V2">
        <v>8</v>
      </c>
      <c r="X2" t="s">
        <v>178</v>
      </c>
      <c r="Y2" t="s">
        <v>182</v>
      </c>
      <c r="Z2" t="s">
        <v>183</v>
      </c>
      <c r="AA2" t="s">
        <v>178</v>
      </c>
      <c r="AB2" t="s">
        <v>178</v>
      </c>
      <c r="AC2">
        <v>21</v>
      </c>
      <c r="AD2">
        <v>8</v>
      </c>
      <c r="AE2" t="s">
        <v>184</v>
      </c>
      <c r="AG2" t="s">
        <v>185</v>
      </c>
      <c r="AH2" t="s">
        <v>186</v>
      </c>
      <c r="AI2" t="s">
        <v>178</v>
      </c>
      <c r="AJ2" t="s">
        <v>178</v>
      </c>
      <c r="AL2" t="s">
        <v>178</v>
      </c>
      <c r="AM2" t="s">
        <v>181</v>
      </c>
      <c r="AN2" s="24"/>
      <c r="AO2" s="24" t="s">
        <v>178</v>
      </c>
      <c r="AP2" s="24" t="s">
        <v>178</v>
      </c>
      <c r="AQ2" s="24" t="s">
        <v>178</v>
      </c>
      <c r="AR2" s="24" t="s">
        <v>187</v>
      </c>
      <c r="AS2" s="24" t="s">
        <v>188</v>
      </c>
      <c r="AT2" s="24" t="s">
        <v>189</v>
      </c>
      <c r="AU2" s="24" t="s">
        <v>190</v>
      </c>
      <c r="AW2" t="s">
        <v>178</v>
      </c>
      <c r="AX2" t="s">
        <v>178</v>
      </c>
      <c r="AY2" t="s">
        <v>178</v>
      </c>
      <c r="AZ2" t="s">
        <v>187</v>
      </c>
      <c r="BA2" t="s">
        <v>188</v>
      </c>
      <c r="BB2" t="s">
        <v>189</v>
      </c>
      <c r="BC2" t="s">
        <v>190</v>
      </c>
      <c r="BE2" t="s">
        <v>178</v>
      </c>
      <c r="BF2" t="s">
        <v>178</v>
      </c>
      <c r="BG2" t="s">
        <v>178</v>
      </c>
      <c r="BH2" t="s">
        <v>187</v>
      </c>
      <c r="BI2" t="s">
        <v>188</v>
      </c>
      <c r="BJ2" t="s">
        <v>189</v>
      </c>
      <c r="BK2" t="s">
        <v>190</v>
      </c>
      <c r="BM2" t="s">
        <v>178</v>
      </c>
      <c r="BN2" t="s">
        <v>178</v>
      </c>
      <c r="BO2" t="s">
        <v>178</v>
      </c>
      <c r="BP2" t="s">
        <v>190</v>
      </c>
      <c r="BQ2" s="24" t="s">
        <v>181</v>
      </c>
      <c r="BR2" s="24" t="s">
        <v>181</v>
      </c>
      <c r="BT2" t="s">
        <v>191</v>
      </c>
      <c r="BU2" s="87">
        <v>80500</v>
      </c>
      <c r="BV2" s="87">
        <v>17500</v>
      </c>
      <c r="BW2" s="26">
        <v>110</v>
      </c>
      <c r="BX2" s="26">
        <v>880</v>
      </c>
      <c r="BZ2" t="s">
        <v>192</v>
      </c>
      <c r="CA2" t="s">
        <v>193</v>
      </c>
      <c r="CC2" t="s">
        <v>194</v>
      </c>
      <c r="CE2" t="s">
        <v>178</v>
      </c>
      <c r="CF2" t="s">
        <v>178</v>
      </c>
      <c r="CH2" t="s">
        <v>178</v>
      </c>
      <c r="CI2" t="s">
        <v>178</v>
      </c>
      <c r="CK2" t="s">
        <v>195</v>
      </c>
      <c r="CL2" t="s">
        <v>178</v>
      </c>
      <c r="CM2" t="s">
        <v>178</v>
      </c>
      <c r="CN2" t="s">
        <v>178</v>
      </c>
      <c r="CP2" t="s">
        <v>196</v>
      </c>
      <c r="CQ2" t="s">
        <v>193</v>
      </c>
      <c r="CS2" t="s">
        <v>197</v>
      </c>
      <c r="CT2" t="s">
        <v>198</v>
      </c>
      <c r="CU2" t="s">
        <v>198</v>
      </c>
      <c r="CV2" t="s">
        <v>199</v>
      </c>
      <c r="CW2" t="s">
        <v>178</v>
      </c>
      <c r="CX2">
        <f t="shared" ref="CX2:CX13" si="0">2*R2</f>
        <v>190</v>
      </c>
      <c r="CY2">
        <v>100</v>
      </c>
      <c r="DA2" t="s">
        <v>200</v>
      </c>
      <c r="DB2" t="s">
        <v>181</v>
      </c>
      <c r="DC2" t="s">
        <v>181</v>
      </c>
      <c r="DD2" t="s">
        <v>181</v>
      </c>
      <c r="DE2" t="s">
        <v>181</v>
      </c>
      <c r="DF2" t="s">
        <v>181</v>
      </c>
      <c r="DG2" t="s">
        <v>181</v>
      </c>
      <c r="DH2" t="s">
        <v>181</v>
      </c>
      <c r="DI2" t="s">
        <v>181</v>
      </c>
      <c r="DJ2" t="s">
        <v>181</v>
      </c>
      <c r="DL2" t="s">
        <v>201</v>
      </c>
      <c r="DM2">
        <v>400</v>
      </c>
      <c r="DN2" t="s">
        <v>178</v>
      </c>
      <c r="DO2" t="s">
        <v>202</v>
      </c>
      <c r="DP2" t="s">
        <v>203</v>
      </c>
      <c r="DQ2">
        <v>22</v>
      </c>
      <c r="DS2" t="s">
        <v>201</v>
      </c>
      <c r="DT2" t="s">
        <v>204</v>
      </c>
      <c r="DV2" t="s">
        <v>205</v>
      </c>
      <c r="DW2" t="s">
        <v>206</v>
      </c>
      <c r="DX2" t="s">
        <v>205</v>
      </c>
      <c r="DY2" t="s">
        <v>207</v>
      </c>
      <c r="DZ2" t="s">
        <v>201</v>
      </c>
      <c r="EB2" t="s">
        <v>201</v>
      </c>
      <c r="EC2">
        <v>14</v>
      </c>
      <c r="ED2" t="s">
        <v>208</v>
      </c>
      <c r="EE2" t="s">
        <v>209</v>
      </c>
      <c r="EF2" t="s">
        <v>210</v>
      </c>
      <c r="EG2" s="24"/>
      <c r="EH2" s="24"/>
      <c r="EI2" s="24" t="s">
        <v>178</v>
      </c>
      <c r="EJ2" s="24" t="s">
        <v>178</v>
      </c>
      <c r="EK2" s="24" t="s">
        <v>178</v>
      </c>
      <c r="EL2" s="24" t="s">
        <v>211</v>
      </c>
      <c r="EO2" t="s">
        <v>178</v>
      </c>
      <c r="EP2" t="s">
        <v>178</v>
      </c>
      <c r="EQ2" t="s">
        <v>178</v>
      </c>
      <c r="ER2" t="s">
        <v>212</v>
      </c>
      <c r="ES2" t="s">
        <v>213</v>
      </c>
      <c r="ET2" t="s">
        <v>213</v>
      </c>
      <c r="EU2" s="25">
        <v>40</v>
      </c>
    </row>
    <row r="3" spans="1:151">
      <c r="A3" s="10" t="s">
        <v>22</v>
      </c>
      <c r="C3" t="s">
        <v>178</v>
      </c>
      <c r="D3" t="s">
        <v>178</v>
      </c>
      <c r="E3" s="24" t="s">
        <v>178</v>
      </c>
      <c r="F3" t="s">
        <v>178</v>
      </c>
      <c r="G3" t="s">
        <v>178</v>
      </c>
      <c r="H3" t="s">
        <v>178</v>
      </c>
      <c r="I3" t="s">
        <v>179</v>
      </c>
      <c r="K3">
        <v>50</v>
      </c>
      <c r="L3">
        <v>22</v>
      </c>
      <c r="M3" s="6">
        <v>19</v>
      </c>
      <c r="N3">
        <v>50</v>
      </c>
      <c r="O3" t="s">
        <v>180</v>
      </c>
      <c r="P3" t="s">
        <v>181</v>
      </c>
      <c r="R3">
        <v>150</v>
      </c>
      <c r="S3">
        <v>200</v>
      </c>
      <c r="T3">
        <v>30</v>
      </c>
      <c r="U3">
        <v>50</v>
      </c>
      <c r="V3">
        <v>8</v>
      </c>
      <c r="X3" t="s">
        <v>178</v>
      </c>
      <c r="Y3" t="s">
        <v>182</v>
      </c>
      <c r="Z3" t="s">
        <v>183</v>
      </c>
      <c r="AA3" t="s">
        <v>178</v>
      </c>
      <c r="AB3" t="s">
        <v>178</v>
      </c>
      <c r="AC3">
        <v>21</v>
      </c>
      <c r="AD3">
        <v>8</v>
      </c>
      <c r="AE3" t="s">
        <v>184</v>
      </c>
      <c r="AG3" t="s">
        <v>185</v>
      </c>
      <c r="AH3" t="s">
        <v>186</v>
      </c>
      <c r="AI3" t="s">
        <v>178</v>
      </c>
      <c r="AJ3" t="s">
        <v>178</v>
      </c>
      <c r="AL3" t="s">
        <v>178</v>
      </c>
      <c r="AM3" t="s">
        <v>181</v>
      </c>
      <c r="AN3" s="24"/>
      <c r="AO3" s="24" t="s">
        <v>178</v>
      </c>
      <c r="AP3" s="24" t="s">
        <v>178</v>
      </c>
      <c r="AQ3" s="24" t="s">
        <v>178</v>
      </c>
      <c r="AR3" s="24" t="s">
        <v>187</v>
      </c>
      <c r="AS3" s="24" t="s">
        <v>188</v>
      </c>
      <c r="AT3" s="24" t="s">
        <v>189</v>
      </c>
      <c r="AU3" s="24" t="s">
        <v>190</v>
      </c>
      <c r="AW3" t="s">
        <v>178</v>
      </c>
      <c r="AX3" t="s">
        <v>178</v>
      </c>
      <c r="AY3" t="s">
        <v>178</v>
      </c>
      <c r="AZ3" t="s">
        <v>187</v>
      </c>
      <c r="BA3" t="s">
        <v>188</v>
      </c>
      <c r="BB3" t="s">
        <v>189</v>
      </c>
      <c r="BC3" t="s">
        <v>190</v>
      </c>
      <c r="BE3" t="s">
        <v>178</v>
      </c>
      <c r="BF3" t="s">
        <v>178</v>
      </c>
      <c r="BG3" t="s">
        <v>178</v>
      </c>
      <c r="BH3" t="s">
        <v>187</v>
      </c>
      <c r="BI3" t="s">
        <v>188</v>
      </c>
      <c r="BJ3" t="s">
        <v>189</v>
      </c>
      <c r="BK3" t="s">
        <v>190</v>
      </c>
      <c r="BM3" t="s">
        <v>178</v>
      </c>
      <c r="BN3" t="s">
        <v>178</v>
      </c>
      <c r="BO3" t="s">
        <v>178</v>
      </c>
      <c r="BP3" t="s">
        <v>190</v>
      </c>
      <c r="BQ3" s="24" t="s">
        <v>181</v>
      </c>
      <c r="BR3" s="24" t="s">
        <v>181</v>
      </c>
      <c r="BT3" t="s">
        <v>191</v>
      </c>
      <c r="BU3" s="87">
        <v>80500</v>
      </c>
      <c r="BV3" s="87">
        <v>17500</v>
      </c>
      <c r="BW3" s="26">
        <v>110</v>
      </c>
      <c r="BX3" s="26">
        <v>880</v>
      </c>
      <c r="BZ3" t="s">
        <v>192</v>
      </c>
      <c r="CA3" t="s">
        <v>193</v>
      </c>
      <c r="CC3" t="s">
        <v>194</v>
      </c>
      <c r="CE3" t="s">
        <v>178</v>
      </c>
      <c r="CF3" t="s">
        <v>178</v>
      </c>
      <c r="CH3" t="s">
        <v>178</v>
      </c>
      <c r="CI3" t="s">
        <v>178</v>
      </c>
      <c r="CK3" t="s">
        <v>195</v>
      </c>
      <c r="CL3" t="s">
        <v>178</v>
      </c>
      <c r="CM3" t="s">
        <v>178</v>
      </c>
      <c r="CN3" t="s">
        <v>178</v>
      </c>
      <c r="CP3" t="s">
        <v>196</v>
      </c>
      <c r="CQ3" t="s">
        <v>193</v>
      </c>
      <c r="CS3" t="s">
        <v>197</v>
      </c>
      <c r="CT3" t="s">
        <v>198</v>
      </c>
      <c r="CU3" t="s">
        <v>198</v>
      </c>
      <c r="CV3" t="s">
        <v>199</v>
      </c>
      <c r="CW3" t="s">
        <v>178</v>
      </c>
      <c r="CX3">
        <f t="shared" si="0"/>
        <v>300</v>
      </c>
      <c r="CY3">
        <v>100</v>
      </c>
      <c r="DA3" t="s">
        <v>200</v>
      </c>
      <c r="DB3" t="s">
        <v>181</v>
      </c>
      <c r="DC3" t="s">
        <v>181</v>
      </c>
      <c r="DD3" t="s">
        <v>181</v>
      </c>
      <c r="DE3" t="s">
        <v>181</v>
      </c>
      <c r="DF3" t="s">
        <v>181</v>
      </c>
      <c r="DG3" t="s">
        <v>181</v>
      </c>
      <c r="DH3" t="s">
        <v>181</v>
      </c>
      <c r="DI3" t="s">
        <v>181</v>
      </c>
      <c r="DJ3" t="s">
        <v>181</v>
      </c>
      <c r="DL3" t="s">
        <v>201</v>
      </c>
      <c r="DM3">
        <v>400</v>
      </c>
      <c r="DN3" t="s">
        <v>178</v>
      </c>
      <c r="DO3" t="s">
        <v>202</v>
      </c>
      <c r="DP3" t="s">
        <v>203</v>
      </c>
      <c r="DQ3">
        <v>22</v>
      </c>
      <c r="DS3" t="s">
        <v>201</v>
      </c>
      <c r="DT3" t="s">
        <v>204</v>
      </c>
      <c r="DV3" t="s">
        <v>205</v>
      </c>
      <c r="DW3" t="s">
        <v>206</v>
      </c>
      <c r="DX3" t="s">
        <v>205</v>
      </c>
      <c r="DY3" t="s">
        <v>207</v>
      </c>
      <c r="DZ3" t="s">
        <v>201</v>
      </c>
      <c r="EB3" t="s">
        <v>201</v>
      </c>
      <c r="EC3">
        <v>14</v>
      </c>
      <c r="ED3" t="s">
        <v>208</v>
      </c>
      <c r="EE3" t="s">
        <v>214</v>
      </c>
      <c r="EF3" t="s">
        <v>210</v>
      </c>
      <c r="EG3" s="24"/>
      <c r="EH3" s="24"/>
      <c r="EI3" s="24" t="s">
        <v>178</v>
      </c>
      <c r="EJ3" s="24" t="s">
        <v>178</v>
      </c>
      <c r="EK3" s="24" t="s">
        <v>178</v>
      </c>
      <c r="EL3" s="24" t="s">
        <v>211</v>
      </c>
      <c r="EO3" t="s">
        <v>178</v>
      </c>
      <c r="EP3" t="s">
        <v>178</v>
      </c>
      <c r="EQ3" t="s">
        <v>178</v>
      </c>
      <c r="ER3" t="s">
        <v>212</v>
      </c>
      <c r="ES3" t="s">
        <v>213</v>
      </c>
      <c r="ET3" t="s">
        <v>213</v>
      </c>
      <c r="EU3" s="25">
        <v>40</v>
      </c>
    </row>
    <row r="4" spans="1:151">
      <c r="A4" s="10" t="s">
        <v>25</v>
      </c>
      <c r="C4" t="s">
        <v>178</v>
      </c>
      <c r="D4" t="s">
        <v>178</v>
      </c>
      <c r="E4" s="24" t="s">
        <v>178</v>
      </c>
      <c r="F4" t="s">
        <v>178</v>
      </c>
      <c r="G4" t="s">
        <v>178</v>
      </c>
      <c r="H4" t="s">
        <v>178</v>
      </c>
      <c r="I4" t="s">
        <v>179</v>
      </c>
      <c r="K4">
        <v>50</v>
      </c>
      <c r="L4">
        <v>33</v>
      </c>
      <c r="M4" s="6">
        <v>19</v>
      </c>
      <c r="N4">
        <v>50</v>
      </c>
      <c r="O4" t="s">
        <v>180</v>
      </c>
      <c r="P4" t="s">
        <v>181</v>
      </c>
      <c r="R4">
        <v>200</v>
      </c>
      <c r="S4">
        <v>200</v>
      </c>
      <c r="T4">
        <v>30</v>
      </c>
      <c r="U4">
        <v>70</v>
      </c>
      <c r="V4">
        <v>8</v>
      </c>
      <c r="X4" t="s">
        <v>178</v>
      </c>
      <c r="Y4" t="s">
        <v>182</v>
      </c>
      <c r="Z4" t="s">
        <v>183</v>
      </c>
      <c r="AA4" t="s">
        <v>178</v>
      </c>
      <c r="AB4" t="s">
        <v>178</v>
      </c>
      <c r="AC4">
        <v>21</v>
      </c>
      <c r="AD4">
        <v>8</v>
      </c>
      <c r="AE4" t="s">
        <v>184</v>
      </c>
      <c r="AG4" t="s">
        <v>185</v>
      </c>
      <c r="AH4" t="s">
        <v>186</v>
      </c>
      <c r="AI4" t="s">
        <v>178</v>
      </c>
      <c r="AJ4" t="s">
        <v>178</v>
      </c>
      <c r="AL4" t="s">
        <v>178</v>
      </c>
      <c r="AM4" t="s">
        <v>181</v>
      </c>
      <c r="AN4" s="24"/>
      <c r="AO4" s="24" t="s">
        <v>178</v>
      </c>
      <c r="AP4" s="24" t="s">
        <v>178</v>
      </c>
      <c r="AQ4" s="24" t="s">
        <v>178</v>
      </c>
      <c r="AR4" s="24" t="s">
        <v>187</v>
      </c>
      <c r="AS4" s="24" t="s">
        <v>188</v>
      </c>
      <c r="AT4" s="24" t="s">
        <v>189</v>
      </c>
      <c r="AU4" s="24" t="s">
        <v>190</v>
      </c>
      <c r="AW4" t="s">
        <v>178</v>
      </c>
      <c r="AX4" t="s">
        <v>178</v>
      </c>
      <c r="AY4" t="s">
        <v>178</v>
      </c>
      <c r="AZ4" t="s">
        <v>187</v>
      </c>
      <c r="BA4" t="s">
        <v>188</v>
      </c>
      <c r="BB4" t="s">
        <v>189</v>
      </c>
      <c r="BC4" t="s">
        <v>190</v>
      </c>
      <c r="BE4" t="s">
        <v>178</v>
      </c>
      <c r="BF4" t="s">
        <v>178</v>
      </c>
      <c r="BG4" t="s">
        <v>178</v>
      </c>
      <c r="BH4" t="s">
        <v>187</v>
      </c>
      <c r="BI4" t="s">
        <v>188</v>
      </c>
      <c r="BJ4" t="s">
        <v>189</v>
      </c>
      <c r="BK4" t="s">
        <v>190</v>
      </c>
      <c r="BM4" t="s">
        <v>178</v>
      </c>
      <c r="BN4" t="s">
        <v>178</v>
      </c>
      <c r="BO4" t="s">
        <v>178</v>
      </c>
      <c r="BP4" t="s">
        <v>190</v>
      </c>
      <c r="BQ4" s="24" t="s">
        <v>181</v>
      </c>
      <c r="BR4" s="24" t="s">
        <v>181</v>
      </c>
      <c r="BT4" t="s">
        <v>191</v>
      </c>
      <c r="BU4" s="87">
        <v>80500</v>
      </c>
      <c r="BV4" s="87">
        <v>17500</v>
      </c>
      <c r="BW4" s="26">
        <v>110</v>
      </c>
      <c r="BX4" s="26">
        <v>880</v>
      </c>
      <c r="BZ4" t="s">
        <v>192</v>
      </c>
      <c r="CA4" t="s">
        <v>193</v>
      </c>
      <c r="CC4" t="s">
        <v>194</v>
      </c>
      <c r="CE4" t="s">
        <v>178</v>
      </c>
      <c r="CF4" t="s">
        <v>178</v>
      </c>
      <c r="CH4" t="s">
        <v>178</v>
      </c>
      <c r="CI4" t="s">
        <v>178</v>
      </c>
      <c r="CK4" t="s">
        <v>195</v>
      </c>
      <c r="CL4" t="s">
        <v>178</v>
      </c>
      <c r="CM4" t="s">
        <v>178</v>
      </c>
      <c r="CN4" t="s">
        <v>178</v>
      </c>
      <c r="CP4" t="s">
        <v>196</v>
      </c>
      <c r="CQ4" t="s">
        <v>193</v>
      </c>
      <c r="CS4" t="s">
        <v>197</v>
      </c>
      <c r="CT4" t="s">
        <v>198</v>
      </c>
      <c r="CU4" t="s">
        <v>198</v>
      </c>
      <c r="CV4" t="s">
        <v>199</v>
      </c>
      <c r="CW4" t="s">
        <v>178</v>
      </c>
      <c r="CX4">
        <f t="shared" si="0"/>
        <v>400</v>
      </c>
      <c r="CY4">
        <v>100</v>
      </c>
      <c r="DA4" t="s">
        <v>200</v>
      </c>
      <c r="DB4" t="s">
        <v>181</v>
      </c>
      <c r="DC4" t="s">
        <v>181</v>
      </c>
      <c r="DD4" t="s">
        <v>181</v>
      </c>
      <c r="DE4" t="s">
        <v>181</v>
      </c>
      <c r="DF4" t="s">
        <v>181</v>
      </c>
      <c r="DG4" t="s">
        <v>181</v>
      </c>
      <c r="DH4" t="s">
        <v>181</v>
      </c>
      <c r="DI4" t="s">
        <v>181</v>
      </c>
      <c r="DJ4" t="s">
        <v>181</v>
      </c>
      <c r="DL4" t="s">
        <v>201</v>
      </c>
      <c r="DM4">
        <v>400</v>
      </c>
      <c r="DN4" t="s">
        <v>178</v>
      </c>
      <c r="DO4" t="s">
        <v>202</v>
      </c>
      <c r="DP4" t="s">
        <v>203</v>
      </c>
      <c r="DQ4">
        <v>22</v>
      </c>
      <c r="DS4" t="s">
        <v>201</v>
      </c>
      <c r="DT4" t="s">
        <v>204</v>
      </c>
      <c r="DV4" t="s">
        <v>205</v>
      </c>
      <c r="DW4" t="s">
        <v>206</v>
      </c>
      <c r="DX4" t="s">
        <v>205</v>
      </c>
      <c r="DY4" t="s">
        <v>207</v>
      </c>
      <c r="DZ4" t="s">
        <v>201</v>
      </c>
      <c r="EB4" t="s">
        <v>201</v>
      </c>
      <c r="EC4">
        <v>14</v>
      </c>
      <c r="ED4" t="s">
        <v>208</v>
      </c>
      <c r="EE4" t="s">
        <v>215</v>
      </c>
      <c r="EF4" t="s">
        <v>210</v>
      </c>
      <c r="EG4" s="24"/>
      <c r="EH4" s="24"/>
      <c r="EI4" s="24" t="s">
        <v>178</v>
      </c>
      <c r="EJ4" s="24" t="s">
        <v>178</v>
      </c>
      <c r="EK4" s="24" t="s">
        <v>178</v>
      </c>
      <c r="EL4" s="24" t="s">
        <v>211</v>
      </c>
      <c r="EO4" t="s">
        <v>178</v>
      </c>
      <c r="EP4" t="s">
        <v>178</v>
      </c>
      <c r="EQ4" t="s">
        <v>178</v>
      </c>
      <c r="ER4" t="s">
        <v>212</v>
      </c>
      <c r="ES4" t="s">
        <v>213</v>
      </c>
      <c r="ET4" t="s">
        <v>213</v>
      </c>
      <c r="EU4" s="25">
        <v>40</v>
      </c>
    </row>
    <row r="5" spans="1:151">
      <c r="A5" s="10" t="s">
        <v>28</v>
      </c>
      <c r="C5" t="s">
        <v>178</v>
      </c>
      <c r="D5" t="s">
        <v>178</v>
      </c>
      <c r="E5" s="24" t="s">
        <v>178</v>
      </c>
      <c r="F5" t="s">
        <v>178</v>
      </c>
      <c r="G5" t="s">
        <v>178</v>
      </c>
      <c r="H5" t="s">
        <v>178</v>
      </c>
      <c r="I5" t="s">
        <v>179</v>
      </c>
      <c r="K5">
        <v>100</v>
      </c>
      <c r="L5">
        <v>11</v>
      </c>
      <c r="M5" s="6">
        <v>19</v>
      </c>
      <c r="N5">
        <v>50</v>
      </c>
      <c r="O5" t="s">
        <v>180</v>
      </c>
      <c r="P5" t="s">
        <v>181</v>
      </c>
      <c r="R5">
        <v>95</v>
      </c>
      <c r="S5">
        <v>200</v>
      </c>
      <c r="T5">
        <v>30</v>
      </c>
      <c r="U5">
        <v>28</v>
      </c>
      <c r="V5">
        <v>8</v>
      </c>
      <c r="X5" t="s">
        <v>178</v>
      </c>
      <c r="Y5" t="s">
        <v>182</v>
      </c>
      <c r="Z5" t="s">
        <v>183</v>
      </c>
      <c r="AA5" t="s">
        <v>178</v>
      </c>
      <c r="AB5" t="s">
        <v>178</v>
      </c>
      <c r="AC5">
        <v>21</v>
      </c>
      <c r="AD5">
        <v>8</v>
      </c>
      <c r="AE5" t="s">
        <v>184</v>
      </c>
      <c r="AG5" t="s">
        <v>185</v>
      </c>
      <c r="AH5" t="s">
        <v>186</v>
      </c>
      <c r="AI5" t="s">
        <v>178</v>
      </c>
      <c r="AJ5" t="s">
        <v>178</v>
      </c>
      <c r="AL5" t="s">
        <v>178</v>
      </c>
      <c r="AM5" t="s">
        <v>181</v>
      </c>
      <c r="AN5" s="24"/>
      <c r="AO5" s="24" t="s">
        <v>178</v>
      </c>
      <c r="AP5" s="24" t="s">
        <v>178</v>
      </c>
      <c r="AQ5" s="24" t="s">
        <v>178</v>
      </c>
      <c r="AR5" s="24" t="s">
        <v>187</v>
      </c>
      <c r="AS5" s="24" t="s">
        <v>188</v>
      </c>
      <c r="AT5" s="24" t="s">
        <v>189</v>
      </c>
      <c r="AU5" s="24" t="s">
        <v>190</v>
      </c>
      <c r="AW5" t="s">
        <v>178</v>
      </c>
      <c r="AX5" t="s">
        <v>178</v>
      </c>
      <c r="AY5" t="s">
        <v>178</v>
      </c>
      <c r="AZ5" t="s">
        <v>187</v>
      </c>
      <c r="BA5" t="s">
        <v>188</v>
      </c>
      <c r="BB5" t="s">
        <v>189</v>
      </c>
      <c r="BC5" t="s">
        <v>190</v>
      </c>
      <c r="BE5" t="s">
        <v>178</v>
      </c>
      <c r="BF5" t="s">
        <v>178</v>
      </c>
      <c r="BG5" t="s">
        <v>178</v>
      </c>
      <c r="BH5" t="s">
        <v>187</v>
      </c>
      <c r="BI5" t="s">
        <v>188</v>
      </c>
      <c r="BJ5" t="s">
        <v>189</v>
      </c>
      <c r="BK5" t="s">
        <v>190</v>
      </c>
      <c r="BM5" t="s">
        <v>178</v>
      </c>
      <c r="BN5" t="s">
        <v>178</v>
      </c>
      <c r="BO5" t="s">
        <v>178</v>
      </c>
      <c r="BP5" t="s">
        <v>190</v>
      </c>
      <c r="BQ5" s="24" t="s">
        <v>181</v>
      </c>
      <c r="BR5" s="24" t="s">
        <v>181</v>
      </c>
      <c r="BT5" t="s">
        <v>191</v>
      </c>
      <c r="BU5" s="87">
        <v>80500</v>
      </c>
      <c r="BV5" s="87">
        <v>17500</v>
      </c>
      <c r="BW5" s="26">
        <v>190</v>
      </c>
      <c r="BX5" s="26">
        <v>1500</v>
      </c>
      <c r="BZ5" t="s">
        <v>192</v>
      </c>
      <c r="CA5" t="s">
        <v>193</v>
      </c>
      <c r="CC5" t="s">
        <v>194</v>
      </c>
      <c r="CE5" t="s">
        <v>178</v>
      </c>
      <c r="CF5" t="s">
        <v>178</v>
      </c>
      <c r="CH5" t="s">
        <v>178</v>
      </c>
      <c r="CI5" t="s">
        <v>178</v>
      </c>
      <c r="CK5" t="s">
        <v>195</v>
      </c>
      <c r="CL5" t="s">
        <v>178</v>
      </c>
      <c r="CM5" t="s">
        <v>178</v>
      </c>
      <c r="CN5" t="s">
        <v>178</v>
      </c>
      <c r="CP5" t="s">
        <v>196</v>
      </c>
      <c r="CQ5" t="s">
        <v>193</v>
      </c>
      <c r="CS5" t="s">
        <v>197</v>
      </c>
      <c r="CT5" t="s">
        <v>198</v>
      </c>
      <c r="CU5" t="s">
        <v>198</v>
      </c>
      <c r="CV5" t="s">
        <v>199</v>
      </c>
      <c r="CW5" t="s">
        <v>178</v>
      </c>
      <c r="CX5">
        <f t="shared" si="0"/>
        <v>190</v>
      </c>
      <c r="CY5">
        <v>100</v>
      </c>
      <c r="DA5" t="s">
        <v>200</v>
      </c>
      <c r="DB5" t="s">
        <v>181</v>
      </c>
      <c r="DC5" t="s">
        <v>181</v>
      </c>
      <c r="DD5" t="s">
        <v>181</v>
      </c>
      <c r="DE5" t="s">
        <v>181</v>
      </c>
      <c r="DF5" t="s">
        <v>181</v>
      </c>
      <c r="DG5" t="s">
        <v>181</v>
      </c>
      <c r="DH5" t="s">
        <v>181</v>
      </c>
      <c r="DI5" t="s">
        <v>181</v>
      </c>
      <c r="DJ5" t="s">
        <v>181</v>
      </c>
      <c r="DL5" t="s">
        <v>201</v>
      </c>
      <c r="DM5">
        <v>400</v>
      </c>
      <c r="DN5" t="s">
        <v>178</v>
      </c>
      <c r="DO5" t="s">
        <v>202</v>
      </c>
      <c r="DP5" t="s">
        <v>203</v>
      </c>
      <c r="DQ5">
        <v>22</v>
      </c>
      <c r="DS5" t="s">
        <v>201</v>
      </c>
      <c r="DT5" t="s">
        <v>204</v>
      </c>
      <c r="DV5" t="s">
        <v>205</v>
      </c>
      <c r="DW5" t="s">
        <v>206</v>
      </c>
      <c r="DX5" t="s">
        <v>205</v>
      </c>
      <c r="DY5" t="s">
        <v>207</v>
      </c>
      <c r="DZ5" t="s">
        <v>201</v>
      </c>
      <c r="EB5" t="s">
        <v>201</v>
      </c>
      <c r="EC5">
        <v>14</v>
      </c>
      <c r="ED5" t="s">
        <v>208</v>
      </c>
      <c r="EE5" t="s">
        <v>209</v>
      </c>
      <c r="EF5" t="s">
        <v>210</v>
      </c>
      <c r="EG5" s="24"/>
      <c r="EH5" s="24"/>
      <c r="EI5" s="24" t="s">
        <v>178</v>
      </c>
      <c r="EJ5" s="24" t="s">
        <v>178</v>
      </c>
      <c r="EK5" s="24" t="s">
        <v>178</v>
      </c>
      <c r="EL5" s="24" t="s">
        <v>211</v>
      </c>
      <c r="EO5" t="s">
        <v>178</v>
      </c>
      <c r="EP5" t="s">
        <v>178</v>
      </c>
      <c r="EQ5" t="s">
        <v>178</v>
      </c>
      <c r="ER5" t="s">
        <v>212</v>
      </c>
      <c r="ES5" t="s">
        <v>213</v>
      </c>
      <c r="ET5" t="s">
        <v>213</v>
      </c>
      <c r="EU5" s="25">
        <v>70</v>
      </c>
    </row>
    <row r="6" spans="1:151">
      <c r="A6" s="10" t="s">
        <v>31</v>
      </c>
      <c r="C6" t="s">
        <v>178</v>
      </c>
      <c r="D6" t="s">
        <v>178</v>
      </c>
      <c r="E6" s="24" t="s">
        <v>178</v>
      </c>
      <c r="F6" t="s">
        <v>178</v>
      </c>
      <c r="G6" t="s">
        <v>178</v>
      </c>
      <c r="H6" t="s">
        <v>178</v>
      </c>
      <c r="I6" t="s">
        <v>179</v>
      </c>
      <c r="K6">
        <v>100</v>
      </c>
      <c r="L6">
        <v>22</v>
      </c>
      <c r="M6" s="6">
        <v>19</v>
      </c>
      <c r="N6">
        <v>50</v>
      </c>
      <c r="O6" t="s">
        <v>180</v>
      </c>
      <c r="P6" t="s">
        <v>181</v>
      </c>
      <c r="R6">
        <v>150</v>
      </c>
      <c r="S6">
        <v>200</v>
      </c>
      <c r="T6">
        <v>30</v>
      </c>
      <c r="U6">
        <v>50</v>
      </c>
      <c r="V6">
        <v>8</v>
      </c>
      <c r="X6" t="s">
        <v>178</v>
      </c>
      <c r="Y6" t="s">
        <v>182</v>
      </c>
      <c r="Z6" t="s">
        <v>183</v>
      </c>
      <c r="AA6" t="s">
        <v>178</v>
      </c>
      <c r="AB6" t="s">
        <v>178</v>
      </c>
      <c r="AC6">
        <v>21</v>
      </c>
      <c r="AD6">
        <v>8</v>
      </c>
      <c r="AE6" t="s">
        <v>184</v>
      </c>
      <c r="AG6" t="s">
        <v>185</v>
      </c>
      <c r="AH6" t="s">
        <v>186</v>
      </c>
      <c r="AI6" t="s">
        <v>178</v>
      </c>
      <c r="AJ6" t="s">
        <v>178</v>
      </c>
      <c r="AL6" t="s">
        <v>178</v>
      </c>
      <c r="AM6" t="s">
        <v>181</v>
      </c>
      <c r="AN6" s="24"/>
      <c r="AO6" s="24" t="s">
        <v>178</v>
      </c>
      <c r="AP6" s="24" t="s">
        <v>178</v>
      </c>
      <c r="AQ6" s="24" t="s">
        <v>178</v>
      </c>
      <c r="AR6" s="24" t="s">
        <v>187</v>
      </c>
      <c r="AS6" s="24" t="s">
        <v>188</v>
      </c>
      <c r="AT6" s="24" t="s">
        <v>189</v>
      </c>
      <c r="AU6" s="24" t="s">
        <v>190</v>
      </c>
      <c r="AW6" t="s">
        <v>178</v>
      </c>
      <c r="AX6" t="s">
        <v>178</v>
      </c>
      <c r="AY6" t="s">
        <v>178</v>
      </c>
      <c r="AZ6" t="s">
        <v>187</v>
      </c>
      <c r="BA6" t="s">
        <v>188</v>
      </c>
      <c r="BB6" t="s">
        <v>189</v>
      </c>
      <c r="BC6" t="s">
        <v>190</v>
      </c>
      <c r="BE6" t="s">
        <v>178</v>
      </c>
      <c r="BF6" t="s">
        <v>178</v>
      </c>
      <c r="BG6" t="s">
        <v>178</v>
      </c>
      <c r="BH6" t="s">
        <v>187</v>
      </c>
      <c r="BI6" t="s">
        <v>188</v>
      </c>
      <c r="BJ6" t="s">
        <v>189</v>
      </c>
      <c r="BK6" t="s">
        <v>190</v>
      </c>
      <c r="BM6" t="s">
        <v>178</v>
      </c>
      <c r="BN6" t="s">
        <v>178</v>
      </c>
      <c r="BO6" t="s">
        <v>178</v>
      </c>
      <c r="BP6" t="s">
        <v>190</v>
      </c>
      <c r="BQ6" s="24" t="s">
        <v>181</v>
      </c>
      <c r="BR6" s="24" t="s">
        <v>181</v>
      </c>
      <c r="BT6" t="s">
        <v>191</v>
      </c>
      <c r="BU6" s="87">
        <v>80500</v>
      </c>
      <c r="BV6" s="87">
        <v>17500</v>
      </c>
      <c r="BW6" s="26">
        <v>190</v>
      </c>
      <c r="BX6" s="26">
        <v>1500</v>
      </c>
      <c r="BZ6" t="s">
        <v>192</v>
      </c>
      <c r="CA6" t="s">
        <v>193</v>
      </c>
      <c r="CC6" t="s">
        <v>194</v>
      </c>
      <c r="CE6" t="s">
        <v>178</v>
      </c>
      <c r="CF6" t="s">
        <v>178</v>
      </c>
      <c r="CH6" t="s">
        <v>178</v>
      </c>
      <c r="CI6" t="s">
        <v>178</v>
      </c>
      <c r="CK6" t="s">
        <v>195</v>
      </c>
      <c r="CL6" t="s">
        <v>178</v>
      </c>
      <c r="CM6" t="s">
        <v>178</v>
      </c>
      <c r="CN6" t="s">
        <v>178</v>
      </c>
      <c r="CP6" t="s">
        <v>196</v>
      </c>
      <c r="CQ6" t="s">
        <v>193</v>
      </c>
      <c r="CS6" t="s">
        <v>197</v>
      </c>
      <c r="CT6" t="s">
        <v>198</v>
      </c>
      <c r="CU6" t="s">
        <v>198</v>
      </c>
      <c r="CV6" t="s">
        <v>199</v>
      </c>
      <c r="CW6" t="s">
        <v>178</v>
      </c>
      <c r="CX6">
        <f t="shared" si="0"/>
        <v>300</v>
      </c>
      <c r="CY6">
        <v>100</v>
      </c>
      <c r="DA6" t="s">
        <v>200</v>
      </c>
      <c r="DB6" t="s">
        <v>181</v>
      </c>
      <c r="DC6" t="s">
        <v>181</v>
      </c>
      <c r="DD6" t="s">
        <v>181</v>
      </c>
      <c r="DE6" t="s">
        <v>181</v>
      </c>
      <c r="DF6" t="s">
        <v>181</v>
      </c>
      <c r="DG6" t="s">
        <v>181</v>
      </c>
      <c r="DH6" t="s">
        <v>181</v>
      </c>
      <c r="DI6" t="s">
        <v>181</v>
      </c>
      <c r="DJ6" t="s">
        <v>181</v>
      </c>
      <c r="DL6" t="s">
        <v>201</v>
      </c>
      <c r="DM6">
        <v>400</v>
      </c>
      <c r="DN6" t="s">
        <v>178</v>
      </c>
      <c r="DO6" t="s">
        <v>202</v>
      </c>
      <c r="DP6" t="s">
        <v>203</v>
      </c>
      <c r="DQ6">
        <v>22</v>
      </c>
      <c r="DS6" t="s">
        <v>201</v>
      </c>
      <c r="DT6" t="s">
        <v>204</v>
      </c>
      <c r="DV6" t="s">
        <v>205</v>
      </c>
      <c r="DW6" t="s">
        <v>206</v>
      </c>
      <c r="DX6" t="s">
        <v>205</v>
      </c>
      <c r="DY6" t="s">
        <v>207</v>
      </c>
      <c r="DZ6" t="s">
        <v>201</v>
      </c>
      <c r="EB6" t="s">
        <v>201</v>
      </c>
      <c r="EC6">
        <v>14</v>
      </c>
      <c r="ED6" t="s">
        <v>208</v>
      </c>
      <c r="EE6" t="s">
        <v>214</v>
      </c>
      <c r="EF6" t="s">
        <v>210</v>
      </c>
      <c r="EG6" s="24"/>
      <c r="EH6" s="24"/>
      <c r="EI6" s="24" t="s">
        <v>178</v>
      </c>
      <c r="EJ6" s="24" t="s">
        <v>178</v>
      </c>
      <c r="EK6" s="24" t="s">
        <v>178</v>
      </c>
      <c r="EL6" s="24" t="s">
        <v>211</v>
      </c>
      <c r="EO6" t="s">
        <v>178</v>
      </c>
      <c r="EP6" t="s">
        <v>178</v>
      </c>
      <c r="EQ6" t="s">
        <v>178</v>
      </c>
      <c r="ER6" t="s">
        <v>212</v>
      </c>
      <c r="ES6" t="s">
        <v>213</v>
      </c>
      <c r="ET6" t="s">
        <v>213</v>
      </c>
      <c r="EU6" s="25">
        <v>70</v>
      </c>
    </row>
    <row r="7" spans="1:151">
      <c r="A7" s="10" t="s">
        <v>34</v>
      </c>
      <c r="C7" t="s">
        <v>178</v>
      </c>
      <c r="D7" t="s">
        <v>178</v>
      </c>
      <c r="E7" s="24" t="s">
        <v>178</v>
      </c>
      <c r="F7" t="s">
        <v>178</v>
      </c>
      <c r="G7" t="s">
        <v>178</v>
      </c>
      <c r="H7" t="s">
        <v>178</v>
      </c>
      <c r="I7" t="s">
        <v>179</v>
      </c>
      <c r="K7">
        <v>100</v>
      </c>
      <c r="L7">
        <v>33</v>
      </c>
      <c r="M7" s="6">
        <v>19</v>
      </c>
      <c r="N7">
        <v>50</v>
      </c>
      <c r="O7" t="s">
        <v>180</v>
      </c>
      <c r="P7" t="s">
        <v>181</v>
      </c>
      <c r="R7">
        <v>200</v>
      </c>
      <c r="S7">
        <v>200</v>
      </c>
      <c r="T7">
        <v>30</v>
      </c>
      <c r="U7">
        <v>70</v>
      </c>
      <c r="V7">
        <v>8</v>
      </c>
      <c r="X7" t="s">
        <v>178</v>
      </c>
      <c r="Y7" t="s">
        <v>182</v>
      </c>
      <c r="Z7" t="s">
        <v>183</v>
      </c>
      <c r="AA7" t="s">
        <v>178</v>
      </c>
      <c r="AB7" t="s">
        <v>178</v>
      </c>
      <c r="AC7">
        <v>21</v>
      </c>
      <c r="AD7">
        <v>8</v>
      </c>
      <c r="AE7" t="s">
        <v>184</v>
      </c>
      <c r="AG7" t="s">
        <v>185</v>
      </c>
      <c r="AH7" t="s">
        <v>186</v>
      </c>
      <c r="AI7" t="s">
        <v>178</v>
      </c>
      <c r="AJ7" t="s">
        <v>178</v>
      </c>
      <c r="AL7" t="s">
        <v>178</v>
      </c>
      <c r="AM7" t="s">
        <v>181</v>
      </c>
      <c r="AN7" s="24"/>
      <c r="AO7" s="24" t="s">
        <v>178</v>
      </c>
      <c r="AP7" s="24" t="s">
        <v>178</v>
      </c>
      <c r="AQ7" s="24" t="s">
        <v>178</v>
      </c>
      <c r="AR7" s="24" t="s">
        <v>187</v>
      </c>
      <c r="AS7" s="24" t="s">
        <v>188</v>
      </c>
      <c r="AT7" s="24" t="s">
        <v>189</v>
      </c>
      <c r="AU7" s="24" t="s">
        <v>190</v>
      </c>
      <c r="AW7" t="s">
        <v>178</v>
      </c>
      <c r="AX7" t="s">
        <v>178</v>
      </c>
      <c r="AY7" t="s">
        <v>178</v>
      </c>
      <c r="AZ7" t="s">
        <v>187</v>
      </c>
      <c r="BA7" t="s">
        <v>188</v>
      </c>
      <c r="BB7" t="s">
        <v>189</v>
      </c>
      <c r="BC7" t="s">
        <v>190</v>
      </c>
      <c r="BE7" t="s">
        <v>178</v>
      </c>
      <c r="BF7" t="s">
        <v>178</v>
      </c>
      <c r="BG7" t="s">
        <v>178</v>
      </c>
      <c r="BH7" t="s">
        <v>187</v>
      </c>
      <c r="BI7" t="s">
        <v>188</v>
      </c>
      <c r="BJ7" t="s">
        <v>189</v>
      </c>
      <c r="BK7" t="s">
        <v>190</v>
      </c>
      <c r="BM7" t="s">
        <v>178</v>
      </c>
      <c r="BN7" t="s">
        <v>178</v>
      </c>
      <c r="BO7" t="s">
        <v>178</v>
      </c>
      <c r="BP7" t="s">
        <v>190</v>
      </c>
      <c r="BQ7" s="24" t="s">
        <v>181</v>
      </c>
      <c r="BR7" s="24" t="s">
        <v>181</v>
      </c>
      <c r="BT7" t="s">
        <v>191</v>
      </c>
      <c r="BU7" s="87">
        <v>80500</v>
      </c>
      <c r="BV7" s="87">
        <v>17500</v>
      </c>
      <c r="BW7" s="26">
        <v>190</v>
      </c>
      <c r="BX7" s="26">
        <v>1500</v>
      </c>
      <c r="BZ7" t="s">
        <v>192</v>
      </c>
      <c r="CA7" t="s">
        <v>193</v>
      </c>
      <c r="CC7" t="s">
        <v>194</v>
      </c>
      <c r="CE7" t="s">
        <v>178</v>
      </c>
      <c r="CF7" t="s">
        <v>178</v>
      </c>
      <c r="CH7" t="s">
        <v>178</v>
      </c>
      <c r="CI7" t="s">
        <v>178</v>
      </c>
      <c r="CK7" t="s">
        <v>195</v>
      </c>
      <c r="CL7" t="s">
        <v>178</v>
      </c>
      <c r="CM7" t="s">
        <v>178</v>
      </c>
      <c r="CN7" t="s">
        <v>178</v>
      </c>
      <c r="CP7" t="s">
        <v>196</v>
      </c>
      <c r="CQ7" t="s">
        <v>193</v>
      </c>
      <c r="CS7" t="s">
        <v>197</v>
      </c>
      <c r="CT7" t="s">
        <v>198</v>
      </c>
      <c r="CU7" t="s">
        <v>198</v>
      </c>
      <c r="CV7" t="s">
        <v>199</v>
      </c>
      <c r="CW7" t="s">
        <v>178</v>
      </c>
      <c r="CX7">
        <f t="shared" si="0"/>
        <v>400</v>
      </c>
      <c r="CY7">
        <v>100</v>
      </c>
      <c r="DA7" t="s">
        <v>200</v>
      </c>
      <c r="DB7" t="s">
        <v>181</v>
      </c>
      <c r="DC7" t="s">
        <v>181</v>
      </c>
      <c r="DD7" t="s">
        <v>181</v>
      </c>
      <c r="DE7" t="s">
        <v>181</v>
      </c>
      <c r="DF7" t="s">
        <v>181</v>
      </c>
      <c r="DG7" t="s">
        <v>181</v>
      </c>
      <c r="DH7" t="s">
        <v>181</v>
      </c>
      <c r="DI7" t="s">
        <v>181</v>
      </c>
      <c r="DJ7" t="s">
        <v>181</v>
      </c>
      <c r="DL7" t="s">
        <v>201</v>
      </c>
      <c r="DM7">
        <v>400</v>
      </c>
      <c r="DN7" t="s">
        <v>178</v>
      </c>
      <c r="DO7" t="s">
        <v>202</v>
      </c>
      <c r="DP7" t="s">
        <v>203</v>
      </c>
      <c r="DQ7">
        <v>22</v>
      </c>
      <c r="DS7" t="s">
        <v>201</v>
      </c>
      <c r="DT7" t="s">
        <v>204</v>
      </c>
      <c r="DV7" t="s">
        <v>205</v>
      </c>
      <c r="DW7" t="s">
        <v>206</v>
      </c>
      <c r="DX7" t="s">
        <v>205</v>
      </c>
      <c r="DY7" t="s">
        <v>207</v>
      </c>
      <c r="DZ7" t="s">
        <v>201</v>
      </c>
      <c r="EB7" t="s">
        <v>201</v>
      </c>
      <c r="EC7">
        <v>14</v>
      </c>
      <c r="ED7" t="s">
        <v>208</v>
      </c>
      <c r="EE7" t="s">
        <v>215</v>
      </c>
      <c r="EF7" t="s">
        <v>210</v>
      </c>
      <c r="EG7" s="24"/>
      <c r="EH7" s="24"/>
      <c r="EI7" s="24" t="s">
        <v>178</v>
      </c>
      <c r="EJ7" s="24" t="s">
        <v>178</v>
      </c>
      <c r="EK7" s="24" t="s">
        <v>178</v>
      </c>
      <c r="EL7" s="24" t="s">
        <v>211</v>
      </c>
      <c r="EO7" t="s">
        <v>178</v>
      </c>
      <c r="EP7" t="s">
        <v>178</v>
      </c>
      <c r="EQ7" t="s">
        <v>178</v>
      </c>
      <c r="ER7" t="s">
        <v>212</v>
      </c>
      <c r="ES7" t="s">
        <v>213</v>
      </c>
      <c r="ET7" t="s">
        <v>213</v>
      </c>
      <c r="EU7" s="25">
        <v>70</v>
      </c>
    </row>
    <row r="8" spans="1:151">
      <c r="A8" s="10" t="s">
        <v>37</v>
      </c>
      <c r="C8" t="s">
        <v>178</v>
      </c>
      <c r="D8" t="s">
        <v>178</v>
      </c>
      <c r="E8" s="24" t="s">
        <v>178</v>
      </c>
      <c r="F8" t="s">
        <v>178</v>
      </c>
      <c r="G8" t="s">
        <v>178</v>
      </c>
      <c r="H8" t="s">
        <v>178</v>
      </c>
      <c r="I8" t="s">
        <v>179</v>
      </c>
      <c r="K8">
        <v>200</v>
      </c>
      <c r="L8">
        <v>11</v>
      </c>
      <c r="M8" s="6">
        <v>19</v>
      </c>
      <c r="N8">
        <v>50</v>
      </c>
      <c r="O8" t="s">
        <v>180</v>
      </c>
      <c r="P8" t="s">
        <v>181</v>
      </c>
      <c r="R8">
        <v>95</v>
      </c>
      <c r="S8">
        <v>200</v>
      </c>
      <c r="T8">
        <v>30</v>
      </c>
      <c r="U8">
        <v>28</v>
      </c>
      <c r="V8">
        <v>8</v>
      </c>
      <c r="X8" t="s">
        <v>178</v>
      </c>
      <c r="Y8" t="s">
        <v>182</v>
      </c>
      <c r="Z8" t="s">
        <v>183</v>
      </c>
      <c r="AA8" t="s">
        <v>178</v>
      </c>
      <c r="AB8" t="s">
        <v>178</v>
      </c>
      <c r="AC8">
        <v>21</v>
      </c>
      <c r="AD8">
        <v>8</v>
      </c>
      <c r="AE8" t="s">
        <v>184</v>
      </c>
      <c r="AG8" t="s">
        <v>185</v>
      </c>
      <c r="AH8" t="s">
        <v>186</v>
      </c>
      <c r="AI8" t="s">
        <v>178</v>
      </c>
      <c r="AJ8" t="s">
        <v>178</v>
      </c>
      <c r="AL8" t="s">
        <v>178</v>
      </c>
      <c r="AM8" t="s">
        <v>181</v>
      </c>
      <c r="AN8" s="24"/>
      <c r="AO8" s="24" t="s">
        <v>178</v>
      </c>
      <c r="AP8" s="24" t="s">
        <v>178</v>
      </c>
      <c r="AQ8" s="24" t="s">
        <v>178</v>
      </c>
      <c r="AR8" s="24" t="s">
        <v>187</v>
      </c>
      <c r="AS8" s="24" t="s">
        <v>188</v>
      </c>
      <c r="AT8" s="24" t="s">
        <v>189</v>
      </c>
      <c r="AU8" s="24" t="s">
        <v>190</v>
      </c>
      <c r="AW8" t="s">
        <v>178</v>
      </c>
      <c r="AX8" t="s">
        <v>178</v>
      </c>
      <c r="AY8" t="s">
        <v>178</v>
      </c>
      <c r="AZ8" t="s">
        <v>187</v>
      </c>
      <c r="BA8" t="s">
        <v>188</v>
      </c>
      <c r="BB8" t="s">
        <v>189</v>
      </c>
      <c r="BC8" t="s">
        <v>190</v>
      </c>
      <c r="BE8" t="s">
        <v>178</v>
      </c>
      <c r="BF8" t="s">
        <v>178</v>
      </c>
      <c r="BG8" t="s">
        <v>178</v>
      </c>
      <c r="BH8" t="s">
        <v>187</v>
      </c>
      <c r="BI8" t="s">
        <v>188</v>
      </c>
      <c r="BJ8" t="s">
        <v>189</v>
      </c>
      <c r="BK8" t="s">
        <v>190</v>
      </c>
      <c r="BM8" t="s">
        <v>178</v>
      </c>
      <c r="BN8" t="s">
        <v>178</v>
      </c>
      <c r="BO8" t="s">
        <v>178</v>
      </c>
      <c r="BP8" t="s">
        <v>190</v>
      </c>
      <c r="BQ8" s="24" t="s">
        <v>181</v>
      </c>
      <c r="BR8" s="24" t="s">
        <v>181</v>
      </c>
      <c r="BT8" t="s">
        <v>191</v>
      </c>
      <c r="BU8" s="87">
        <v>80500</v>
      </c>
      <c r="BV8" s="87">
        <v>17500</v>
      </c>
      <c r="BW8" s="26">
        <v>320</v>
      </c>
      <c r="BX8" s="26">
        <v>2600</v>
      </c>
      <c r="BZ8" t="s">
        <v>216</v>
      </c>
      <c r="CA8" t="s">
        <v>193</v>
      </c>
      <c r="CC8" t="s">
        <v>194</v>
      </c>
      <c r="CE8" t="s">
        <v>178</v>
      </c>
      <c r="CF8" t="s">
        <v>178</v>
      </c>
      <c r="CH8" t="s">
        <v>178</v>
      </c>
      <c r="CI8" t="s">
        <v>178</v>
      </c>
      <c r="CK8" t="s">
        <v>195</v>
      </c>
      <c r="CL8" t="s">
        <v>178</v>
      </c>
      <c r="CM8" t="s">
        <v>178</v>
      </c>
      <c r="CN8" t="s">
        <v>178</v>
      </c>
      <c r="CP8" t="s">
        <v>196</v>
      </c>
      <c r="CQ8" t="s">
        <v>193</v>
      </c>
      <c r="CS8" t="s">
        <v>178</v>
      </c>
      <c r="CT8" t="s">
        <v>217</v>
      </c>
      <c r="CU8" t="s">
        <v>218</v>
      </c>
      <c r="CV8" t="s">
        <v>219</v>
      </c>
      <c r="CW8" t="s">
        <v>178</v>
      </c>
      <c r="CX8">
        <f t="shared" si="0"/>
        <v>190</v>
      </c>
      <c r="CY8">
        <v>100</v>
      </c>
      <c r="DA8" t="s">
        <v>200</v>
      </c>
      <c r="DB8" t="s">
        <v>181</v>
      </c>
      <c r="DC8" t="s">
        <v>181</v>
      </c>
      <c r="DD8" t="s">
        <v>181</v>
      </c>
      <c r="DE8" t="s">
        <v>181</v>
      </c>
      <c r="DF8" t="s">
        <v>181</v>
      </c>
      <c r="DG8" t="s">
        <v>181</v>
      </c>
      <c r="DH8" t="s">
        <v>181</v>
      </c>
      <c r="DI8" t="s">
        <v>181</v>
      </c>
      <c r="DJ8" t="s">
        <v>181</v>
      </c>
      <c r="DL8" t="s">
        <v>201</v>
      </c>
      <c r="DM8">
        <v>400</v>
      </c>
      <c r="DN8" t="s">
        <v>178</v>
      </c>
      <c r="DO8" t="s">
        <v>202</v>
      </c>
      <c r="DP8" t="s">
        <v>203</v>
      </c>
      <c r="DQ8">
        <v>22</v>
      </c>
      <c r="DS8" t="s">
        <v>201</v>
      </c>
      <c r="DT8" t="s">
        <v>204</v>
      </c>
      <c r="DV8" t="s">
        <v>205</v>
      </c>
      <c r="DW8" t="s">
        <v>206</v>
      </c>
      <c r="DX8" t="s">
        <v>205</v>
      </c>
      <c r="DY8" t="s">
        <v>207</v>
      </c>
      <c r="DZ8" t="s">
        <v>201</v>
      </c>
      <c r="EB8" t="s">
        <v>201</v>
      </c>
      <c r="EC8">
        <v>14</v>
      </c>
      <c r="ED8" t="s">
        <v>208</v>
      </c>
      <c r="EE8" t="s">
        <v>209</v>
      </c>
      <c r="EF8" t="s">
        <v>210</v>
      </c>
      <c r="EG8" s="24"/>
      <c r="EH8" s="24"/>
      <c r="EI8" s="24" t="s">
        <v>178</v>
      </c>
      <c r="EJ8" s="24" t="s">
        <v>178</v>
      </c>
      <c r="EK8" s="24" t="s">
        <v>178</v>
      </c>
      <c r="EL8" s="24" t="s">
        <v>211</v>
      </c>
      <c r="EO8" t="s">
        <v>178</v>
      </c>
      <c r="EP8" t="s">
        <v>178</v>
      </c>
      <c r="EQ8" t="s">
        <v>178</v>
      </c>
      <c r="ER8" t="s">
        <v>212</v>
      </c>
      <c r="ES8" t="s">
        <v>213</v>
      </c>
      <c r="ET8" t="s">
        <v>213</v>
      </c>
      <c r="EU8" s="25">
        <v>120</v>
      </c>
    </row>
    <row r="9" spans="1:151">
      <c r="A9" s="10" t="s">
        <v>40</v>
      </c>
      <c r="C9" t="s">
        <v>178</v>
      </c>
      <c r="D9" t="s">
        <v>178</v>
      </c>
      <c r="E9" s="24" t="s">
        <v>178</v>
      </c>
      <c r="F9" t="s">
        <v>178</v>
      </c>
      <c r="G9" t="s">
        <v>178</v>
      </c>
      <c r="H9" t="s">
        <v>178</v>
      </c>
      <c r="I9" t="s">
        <v>179</v>
      </c>
      <c r="K9">
        <v>200</v>
      </c>
      <c r="L9">
        <v>22</v>
      </c>
      <c r="M9" s="6">
        <v>19</v>
      </c>
      <c r="N9">
        <v>50</v>
      </c>
      <c r="O9" t="s">
        <v>180</v>
      </c>
      <c r="P9" t="s">
        <v>181</v>
      </c>
      <c r="R9">
        <v>150</v>
      </c>
      <c r="S9">
        <v>200</v>
      </c>
      <c r="T9">
        <v>30</v>
      </c>
      <c r="U9">
        <v>50</v>
      </c>
      <c r="V9">
        <v>8</v>
      </c>
      <c r="X9" t="s">
        <v>178</v>
      </c>
      <c r="Y9" t="s">
        <v>182</v>
      </c>
      <c r="Z9" t="s">
        <v>183</v>
      </c>
      <c r="AA9" t="s">
        <v>178</v>
      </c>
      <c r="AB9" t="s">
        <v>178</v>
      </c>
      <c r="AC9">
        <v>21</v>
      </c>
      <c r="AD9">
        <v>8</v>
      </c>
      <c r="AE9" t="s">
        <v>184</v>
      </c>
      <c r="AG9" t="s">
        <v>185</v>
      </c>
      <c r="AH9" t="s">
        <v>186</v>
      </c>
      <c r="AI9" t="s">
        <v>178</v>
      </c>
      <c r="AJ9" t="s">
        <v>178</v>
      </c>
      <c r="AL9" t="s">
        <v>178</v>
      </c>
      <c r="AM9" t="s">
        <v>181</v>
      </c>
      <c r="AN9" s="24"/>
      <c r="AO9" s="24" t="s">
        <v>178</v>
      </c>
      <c r="AP9" s="24" t="s">
        <v>178</v>
      </c>
      <c r="AQ9" s="24" t="s">
        <v>178</v>
      </c>
      <c r="AR9" s="24" t="s">
        <v>187</v>
      </c>
      <c r="AS9" s="24" t="s">
        <v>188</v>
      </c>
      <c r="AT9" s="24" t="s">
        <v>189</v>
      </c>
      <c r="AU9" s="24" t="s">
        <v>190</v>
      </c>
      <c r="AW9" t="s">
        <v>178</v>
      </c>
      <c r="AX9" t="s">
        <v>178</v>
      </c>
      <c r="AY9" t="s">
        <v>178</v>
      </c>
      <c r="AZ9" t="s">
        <v>187</v>
      </c>
      <c r="BA9" t="s">
        <v>188</v>
      </c>
      <c r="BB9" t="s">
        <v>189</v>
      </c>
      <c r="BC9" t="s">
        <v>190</v>
      </c>
      <c r="BE9" t="s">
        <v>178</v>
      </c>
      <c r="BF9" t="s">
        <v>178</v>
      </c>
      <c r="BG9" t="s">
        <v>178</v>
      </c>
      <c r="BH9" t="s">
        <v>187</v>
      </c>
      <c r="BI9" t="s">
        <v>188</v>
      </c>
      <c r="BJ9" t="s">
        <v>189</v>
      </c>
      <c r="BK9" t="s">
        <v>190</v>
      </c>
      <c r="BM9" t="s">
        <v>178</v>
      </c>
      <c r="BN9" t="s">
        <v>178</v>
      </c>
      <c r="BO9" t="s">
        <v>178</v>
      </c>
      <c r="BP9" t="s">
        <v>190</v>
      </c>
      <c r="BQ9" s="24" t="s">
        <v>181</v>
      </c>
      <c r="BR9" s="24" t="s">
        <v>181</v>
      </c>
      <c r="BT9" t="s">
        <v>191</v>
      </c>
      <c r="BU9" s="87">
        <v>80500</v>
      </c>
      <c r="BV9" s="87">
        <v>17500</v>
      </c>
      <c r="BW9" s="26">
        <v>320</v>
      </c>
      <c r="BX9" s="26">
        <v>2600</v>
      </c>
      <c r="BZ9" t="s">
        <v>216</v>
      </c>
      <c r="CA9" t="s">
        <v>193</v>
      </c>
      <c r="CC9" t="s">
        <v>194</v>
      </c>
      <c r="CE9" t="s">
        <v>178</v>
      </c>
      <c r="CF9" t="s">
        <v>178</v>
      </c>
      <c r="CH9" t="s">
        <v>178</v>
      </c>
      <c r="CI9" t="s">
        <v>178</v>
      </c>
      <c r="CK9" t="s">
        <v>195</v>
      </c>
      <c r="CL9" t="s">
        <v>178</v>
      </c>
      <c r="CM9" t="s">
        <v>178</v>
      </c>
      <c r="CN9" t="s">
        <v>178</v>
      </c>
      <c r="CP9" t="s">
        <v>196</v>
      </c>
      <c r="CQ9" t="s">
        <v>193</v>
      </c>
      <c r="CS9" t="s">
        <v>178</v>
      </c>
      <c r="CT9" t="s">
        <v>198</v>
      </c>
      <c r="CU9" t="s">
        <v>220</v>
      </c>
      <c r="CV9" t="s">
        <v>221</v>
      </c>
      <c r="CW9" t="s">
        <v>178</v>
      </c>
      <c r="CX9">
        <f t="shared" si="0"/>
        <v>300</v>
      </c>
      <c r="CY9">
        <v>100</v>
      </c>
      <c r="DA9" t="s">
        <v>200</v>
      </c>
      <c r="DB9" t="s">
        <v>181</v>
      </c>
      <c r="DC9" t="s">
        <v>181</v>
      </c>
      <c r="DD9" t="s">
        <v>181</v>
      </c>
      <c r="DE9" t="s">
        <v>181</v>
      </c>
      <c r="DF9" t="s">
        <v>181</v>
      </c>
      <c r="DG9" t="s">
        <v>181</v>
      </c>
      <c r="DH9" t="s">
        <v>181</v>
      </c>
      <c r="DI9" t="s">
        <v>181</v>
      </c>
      <c r="DJ9" t="s">
        <v>181</v>
      </c>
      <c r="DL9" t="s">
        <v>201</v>
      </c>
      <c r="DM9">
        <v>400</v>
      </c>
      <c r="DN9" t="s">
        <v>178</v>
      </c>
      <c r="DO9" t="s">
        <v>202</v>
      </c>
      <c r="DP9" t="s">
        <v>203</v>
      </c>
      <c r="DQ9">
        <v>22</v>
      </c>
      <c r="DS9" t="s">
        <v>201</v>
      </c>
      <c r="DT9" t="s">
        <v>204</v>
      </c>
      <c r="DV9" t="s">
        <v>205</v>
      </c>
      <c r="DW9" t="s">
        <v>206</v>
      </c>
      <c r="DX9" t="s">
        <v>205</v>
      </c>
      <c r="DY9" t="s">
        <v>207</v>
      </c>
      <c r="DZ9" t="s">
        <v>201</v>
      </c>
      <c r="EB9" t="s">
        <v>201</v>
      </c>
      <c r="EC9">
        <v>14</v>
      </c>
      <c r="ED9" t="s">
        <v>208</v>
      </c>
      <c r="EE9" t="s">
        <v>214</v>
      </c>
      <c r="EF9" t="s">
        <v>210</v>
      </c>
      <c r="EG9" s="24"/>
      <c r="EH9" s="24"/>
      <c r="EI9" s="24" t="s">
        <v>178</v>
      </c>
      <c r="EJ9" s="24" t="s">
        <v>178</v>
      </c>
      <c r="EK9" s="24" t="s">
        <v>178</v>
      </c>
      <c r="EL9" s="24" t="s">
        <v>211</v>
      </c>
      <c r="EO9" t="s">
        <v>178</v>
      </c>
      <c r="EP9" t="s">
        <v>178</v>
      </c>
      <c r="EQ9" t="s">
        <v>178</v>
      </c>
      <c r="ER9" t="s">
        <v>212</v>
      </c>
      <c r="ES9" t="s">
        <v>213</v>
      </c>
      <c r="ET9" t="s">
        <v>213</v>
      </c>
      <c r="EU9" s="25">
        <v>120</v>
      </c>
    </row>
    <row r="10" spans="1:151">
      <c r="A10" s="10" t="s">
        <v>43</v>
      </c>
      <c r="C10" t="s">
        <v>178</v>
      </c>
      <c r="D10" t="s">
        <v>178</v>
      </c>
      <c r="E10" s="24" t="s">
        <v>178</v>
      </c>
      <c r="F10" t="s">
        <v>178</v>
      </c>
      <c r="G10" t="s">
        <v>178</v>
      </c>
      <c r="H10" t="s">
        <v>178</v>
      </c>
      <c r="I10" t="s">
        <v>179</v>
      </c>
      <c r="K10">
        <v>200</v>
      </c>
      <c r="L10">
        <v>33</v>
      </c>
      <c r="M10" s="6">
        <v>19</v>
      </c>
      <c r="N10">
        <v>50</v>
      </c>
      <c r="O10" t="s">
        <v>180</v>
      </c>
      <c r="P10" t="s">
        <v>181</v>
      </c>
      <c r="R10">
        <v>200</v>
      </c>
      <c r="S10">
        <v>200</v>
      </c>
      <c r="T10">
        <v>30</v>
      </c>
      <c r="U10">
        <v>70</v>
      </c>
      <c r="V10">
        <v>8</v>
      </c>
      <c r="X10" t="s">
        <v>178</v>
      </c>
      <c r="Y10" t="s">
        <v>182</v>
      </c>
      <c r="Z10" t="s">
        <v>183</v>
      </c>
      <c r="AA10" t="s">
        <v>178</v>
      </c>
      <c r="AB10" t="s">
        <v>178</v>
      </c>
      <c r="AC10">
        <v>21</v>
      </c>
      <c r="AD10">
        <v>8</v>
      </c>
      <c r="AE10" t="s">
        <v>184</v>
      </c>
      <c r="AG10" t="s">
        <v>185</v>
      </c>
      <c r="AH10" t="s">
        <v>186</v>
      </c>
      <c r="AI10" t="s">
        <v>178</v>
      </c>
      <c r="AJ10" t="s">
        <v>178</v>
      </c>
      <c r="AL10" t="s">
        <v>178</v>
      </c>
      <c r="AM10" t="s">
        <v>181</v>
      </c>
      <c r="AN10" s="24"/>
      <c r="AO10" s="24" t="s">
        <v>178</v>
      </c>
      <c r="AP10" s="24" t="s">
        <v>178</v>
      </c>
      <c r="AQ10" s="24" t="s">
        <v>178</v>
      </c>
      <c r="AR10" s="24" t="s">
        <v>187</v>
      </c>
      <c r="AS10" s="24" t="s">
        <v>188</v>
      </c>
      <c r="AT10" s="24" t="s">
        <v>189</v>
      </c>
      <c r="AU10" s="24" t="s">
        <v>190</v>
      </c>
      <c r="AW10" t="s">
        <v>178</v>
      </c>
      <c r="AX10" t="s">
        <v>178</v>
      </c>
      <c r="AY10" t="s">
        <v>178</v>
      </c>
      <c r="AZ10" t="s">
        <v>187</v>
      </c>
      <c r="BA10" t="s">
        <v>188</v>
      </c>
      <c r="BB10" t="s">
        <v>189</v>
      </c>
      <c r="BC10" t="s">
        <v>190</v>
      </c>
      <c r="BE10" t="s">
        <v>178</v>
      </c>
      <c r="BF10" t="s">
        <v>178</v>
      </c>
      <c r="BG10" t="s">
        <v>178</v>
      </c>
      <c r="BH10" t="s">
        <v>187</v>
      </c>
      <c r="BI10" t="s">
        <v>188</v>
      </c>
      <c r="BJ10" t="s">
        <v>189</v>
      </c>
      <c r="BK10" t="s">
        <v>190</v>
      </c>
      <c r="BM10" t="s">
        <v>178</v>
      </c>
      <c r="BN10" t="s">
        <v>178</v>
      </c>
      <c r="BO10" t="s">
        <v>178</v>
      </c>
      <c r="BP10" t="s">
        <v>190</v>
      </c>
      <c r="BQ10" s="24" t="s">
        <v>181</v>
      </c>
      <c r="BR10" s="24" t="s">
        <v>181</v>
      </c>
      <c r="BT10" t="s">
        <v>191</v>
      </c>
      <c r="BU10" s="87">
        <v>80500</v>
      </c>
      <c r="BV10" s="87">
        <v>17500</v>
      </c>
      <c r="BW10" s="26">
        <v>320</v>
      </c>
      <c r="BX10" s="26">
        <v>2600</v>
      </c>
      <c r="BZ10" t="s">
        <v>216</v>
      </c>
      <c r="CA10" t="s">
        <v>193</v>
      </c>
      <c r="CC10" t="s">
        <v>194</v>
      </c>
      <c r="CE10" t="s">
        <v>178</v>
      </c>
      <c r="CF10" t="s">
        <v>178</v>
      </c>
      <c r="CH10" t="s">
        <v>178</v>
      </c>
      <c r="CI10" t="s">
        <v>178</v>
      </c>
      <c r="CK10" t="s">
        <v>195</v>
      </c>
      <c r="CL10" t="s">
        <v>178</v>
      </c>
      <c r="CM10" t="s">
        <v>178</v>
      </c>
      <c r="CN10" t="s">
        <v>178</v>
      </c>
      <c r="CP10" t="s">
        <v>196</v>
      </c>
      <c r="CQ10" t="s">
        <v>193</v>
      </c>
      <c r="CS10" t="s">
        <v>178</v>
      </c>
      <c r="CT10" t="s">
        <v>198</v>
      </c>
      <c r="CU10" t="s">
        <v>220</v>
      </c>
      <c r="CV10" t="s">
        <v>221</v>
      </c>
      <c r="CW10" t="s">
        <v>178</v>
      </c>
      <c r="CX10">
        <f t="shared" si="0"/>
        <v>400</v>
      </c>
      <c r="CY10">
        <v>100</v>
      </c>
      <c r="DA10" t="s">
        <v>200</v>
      </c>
      <c r="DB10" t="s">
        <v>181</v>
      </c>
      <c r="DC10" t="s">
        <v>181</v>
      </c>
      <c r="DD10" t="s">
        <v>181</v>
      </c>
      <c r="DE10" t="s">
        <v>181</v>
      </c>
      <c r="DF10" t="s">
        <v>181</v>
      </c>
      <c r="DG10" t="s">
        <v>181</v>
      </c>
      <c r="DH10" t="s">
        <v>181</v>
      </c>
      <c r="DI10" t="s">
        <v>181</v>
      </c>
      <c r="DJ10" t="s">
        <v>181</v>
      </c>
      <c r="DL10" t="s">
        <v>201</v>
      </c>
      <c r="DM10">
        <v>400</v>
      </c>
      <c r="DN10" t="s">
        <v>178</v>
      </c>
      <c r="DO10" t="s">
        <v>202</v>
      </c>
      <c r="DP10" t="s">
        <v>203</v>
      </c>
      <c r="DQ10">
        <v>22</v>
      </c>
      <c r="DS10" t="s">
        <v>201</v>
      </c>
      <c r="DT10" t="s">
        <v>204</v>
      </c>
      <c r="DV10" t="s">
        <v>205</v>
      </c>
      <c r="DW10" t="s">
        <v>206</v>
      </c>
      <c r="DX10" t="s">
        <v>205</v>
      </c>
      <c r="DY10" t="s">
        <v>207</v>
      </c>
      <c r="DZ10" t="s">
        <v>201</v>
      </c>
      <c r="EB10" t="s">
        <v>201</v>
      </c>
      <c r="EC10">
        <v>14</v>
      </c>
      <c r="ED10" t="s">
        <v>208</v>
      </c>
      <c r="EE10" t="s">
        <v>215</v>
      </c>
      <c r="EF10" t="s">
        <v>210</v>
      </c>
      <c r="EG10" s="24"/>
      <c r="EH10" s="24"/>
      <c r="EI10" s="24" t="s">
        <v>178</v>
      </c>
      <c r="EJ10" s="24" t="s">
        <v>178</v>
      </c>
      <c r="EK10" s="24" t="s">
        <v>178</v>
      </c>
      <c r="EL10" s="24" t="s">
        <v>211</v>
      </c>
      <c r="EO10" t="s">
        <v>178</v>
      </c>
      <c r="EP10" t="s">
        <v>178</v>
      </c>
      <c r="EQ10" t="s">
        <v>178</v>
      </c>
      <c r="ER10" t="s">
        <v>212</v>
      </c>
      <c r="ES10" t="s">
        <v>213</v>
      </c>
      <c r="ET10" t="s">
        <v>213</v>
      </c>
      <c r="EU10" s="25">
        <v>120</v>
      </c>
    </row>
    <row r="11" spans="1:151">
      <c r="A11" s="10" t="s">
        <v>46</v>
      </c>
      <c r="C11" t="s">
        <v>178</v>
      </c>
      <c r="D11" t="s">
        <v>178</v>
      </c>
      <c r="E11" s="24" t="s">
        <v>178</v>
      </c>
      <c r="F11" t="s">
        <v>178</v>
      </c>
      <c r="G11" t="s">
        <v>178</v>
      </c>
      <c r="H11" t="s">
        <v>178</v>
      </c>
      <c r="I11" t="s">
        <v>179</v>
      </c>
      <c r="K11">
        <v>400</v>
      </c>
      <c r="L11">
        <v>11</v>
      </c>
      <c r="M11" s="6">
        <v>19</v>
      </c>
      <c r="N11">
        <v>50</v>
      </c>
      <c r="O11" t="s">
        <v>180</v>
      </c>
      <c r="P11" t="s">
        <v>181</v>
      </c>
      <c r="R11">
        <v>95</v>
      </c>
      <c r="S11">
        <v>200</v>
      </c>
      <c r="T11">
        <v>30</v>
      </c>
      <c r="U11">
        <v>28</v>
      </c>
      <c r="V11">
        <v>8</v>
      </c>
      <c r="X11" t="s">
        <v>178</v>
      </c>
      <c r="Y11" t="s">
        <v>182</v>
      </c>
      <c r="Z11" t="s">
        <v>183</v>
      </c>
      <c r="AA11" t="s">
        <v>178</v>
      </c>
      <c r="AB11" t="s">
        <v>178</v>
      </c>
      <c r="AC11">
        <v>21</v>
      </c>
      <c r="AD11">
        <v>8</v>
      </c>
      <c r="AE11" t="s">
        <v>184</v>
      </c>
      <c r="AG11" t="s">
        <v>185</v>
      </c>
      <c r="AH11" t="s">
        <v>186</v>
      </c>
      <c r="AI11" t="s">
        <v>178</v>
      </c>
      <c r="AJ11" t="s">
        <v>178</v>
      </c>
      <c r="AL11" t="s">
        <v>178</v>
      </c>
      <c r="AM11" t="s">
        <v>181</v>
      </c>
      <c r="AN11" s="24"/>
      <c r="AO11" s="24" t="s">
        <v>178</v>
      </c>
      <c r="AP11" s="24" t="s">
        <v>178</v>
      </c>
      <c r="AQ11" s="24" t="s">
        <v>178</v>
      </c>
      <c r="AR11" s="24" t="s">
        <v>187</v>
      </c>
      <c r="AS11" s="24" t="s">
        <v>188</v>
      </c>
      <c r="AT11" s="24" t="s">
        <v>189</v>
      </c>
      <c r="AU11" s="24" t="s">
        <v>190</v>
      </c>
      <c r="AW11" t="s">
        <v>178</v>
      </c>
      <c r="AX11" t="s">
        <v>178</v>
      </c>
      <c r="AY11" t="s">
        <v>178</v>
      </c>
      <c r="AZ11" t="s">
        <v>187</v>
      </c>
      <c r="BA11" t="s">
        <v>188</v>
      </c>
      <c r="BB11" t="s">
        <v>189</v>
      </c>
      <c r="BC11" t="s">
        <v>190</v>
      </c>
      <c r="BE11" t="s">
        <v>178</v>
      </c>
      <c r="BF11" t="s">
        <v>178</v>
      </c>
      <c r="BG11" t="s">
        <v>178</v>
      </c>
      <c r="BH11" t="s">
        <v>187</v>
      </c>
      <c r="BI11" t="s">
        <v>188</v>
      </c>
      <c r="BJ11" t="s">
        <v>189</v>
      </c>
      <c r="BK11" t="s">
        <v>190</v>
      </c>
      <c r="BM11" t="s">
        <v>178</v>
      </c>
      <c r="BN11" t="s">
        <v>178</v>
      </c>
      <c r="BO11" t="s">
        <v>178</v>
      </c>
      <c r="BP11" t="s">
        <v>190</v>
      </c>
      <c r="BQ11" s="24" t="s">
        <v>181</v>
      </c>
      <c r="BR11" s="24" t="s">
        <v>181</v>
      </c>
      <c r="BT11" t="s">
        <v>191</v>
      </c>
      <c r="BU11" s="87">
        <v>80500</v>
      </c>
      <c r="BV11" s="87">
        <v>17500</v>
      </c>
      <c r="BW11" s="26">
        <v>630</v>
      </c>
      <c r="BX11" s="26">
        <v>5200</v>
      </c>
      <c r="BZ11" t="s">
        <v>216</v>
      </c>
      <c r="CA11" t="s">
        <v>193</v>
      </c>
      <c r="CC11" t="s">
        <v>222</v>
      </c>
      <c r="CE11" t="s">
        <v>178</v>
      </c>
      <c r="CF11" t="s">
        <v>178</v>
      </c>
      <c r="CH11" t="s">
        <v>178</v>
      </c>
      <c r="CI11" t="s">
        <v>178</v>
      </c>
      <c r="CK11" t="s">
        <v>195</v>
      </c>
      <c r="CL11" t="s">
        <v>178</v>
      </c>
      <c r="CM11" t="s">
        <v>178</v>
      </c>
      <c r="CN11" t="s">
        <v>178</v>
      </c>
      <c r="CP11" t="s">
        <v>196</v>
      </c>
      <c r="CQ11" t="s">
        <v>193</v>
      </c>
      <c r="CS11" t="s">
        <v>223</v>
      </c>
      <c r="CT11" t="s">
        <v>198</v>
      </c>
      <c r="CU11" t="s">
        <v>220</v>
      </c>
      <c r="CV11" t="s">
        <v>224</v>
      </c>
      <c r="CW11" t="s">
        <v>178</v>
      </c>
      <c r="CX11">
        <f t="shared" si="0"/>
        <v>190</v>
      </c>
      <c r="CY11">
        <v>100</v>
      </c>
      <c r="DA11" t="s">
        <v>200</v>
      </c>
      <c r="DB11" t="s">
        <v>181</v>
      </c>
      <c r="DC11" t="s">
        <v>181</v>
      </c>
      <c r="DD11" t="s">
        <v>181</v>
      </c>
      <c r="DE11" t="s">
        <v>181</v>
      </c>
      <c r="DF11" t="s">
        <v>181</v>
      </c>
      <c r="DG11" t="s">
        <v>181</v>
      </c>
      <c r="DH11" t="s">
        <v>181</v>
      </c>
      <c r="DI11" t="s">
        <v>181</v>
      </c>
      <c r="DJ11" t="s">
        <v>181</v>
      </c>
      <c r="DL11" t="s">
        <v>201</v>
      </c>
      <c r="DM11">
        <v>400</v>
      </c>
      <c r="DN11" t="s">
        <v>178</v>
      </c>
      <c r="DO11" t="s">
        <v>202</v>
      </c>
      <c r="DP11" t="s">
        <v>203</v>
      </c>
      <c r="DQ11">
        <v>22</v>
      </c>
      <c r="DS11" t="s">
        <v>201</v>
      </c>
      <c r="DT11" t="s">
        <v>204</v>
      </c>
      <c r="DV11" t="s">
        <v>205</v>
      </c>
      <c r="DW11" t="s">
        <v>206</v>
      </c>
      <c r="DX11" t="s">
        <v>205</v>
      </c>
      <c r="DY11" t="s">
        <v>207</v>
      </c>
      <c r="DZ11" t="s">
        <v>201</v>
      </c>
      <c r="EB11" t="s">
        <v>201</v>
      </c>
      <c r="EC11">
        <v>14</v>
      </c>
      <c r="ED11" t="s">
        <v>208</v>
      </c>
      <c r="EE11" t="s">
        <v>209</v>
      </c>
      <c r="EF11" t="s">
        <v>210</v>
      </c>
      <c r="EG11" s="24"/>
      <c r="EH11" s="24"/>
      <c r="EI11" s="24" t="s">
        <v>178</v>
      </c>
      <c r="EJ11" s="24" t="s">
        <v>178</v>
      </c>
      <c r="EK11" s="24" t="s">
        <v>178</v>
      </c>
      <c r="EL11" s="24" t="s">
        <v>211</v>
      </c>
      <c r="EO11" t="s">
        <v>178</v>
      </c>
      <c r="EP11" t="s">
        <v>178</v>
      </c>
      <c r="EQ11" t="s">
        <v>178</v>
      </c>
      <c r="ER11" t="s">
        <v>212</v>
      </c>
      <c r="ES11" t="s">
        <v>213</v>
      </c>
      <c r="ET11" t="s">
        <v>213</v>
      </c>
      <c r="EU11" s="25">
        <v>230</v>
      </c>
    </row>
    <row r="12" spans="1:151">
      <c r="A12" s="10" t="s">
        <v>49</v>
      </c>
      <c r="C12" t="s">
        <v>178</v>
      </c>
      <c r="D12" t="s">
        <v>178</v>
      </c>
      <c r="E12" s="24" t="s">
        <v>178</v>
      </c>
      <c r="F12" t="s">
        <v>178</v>
      </c>
      <c r="G12" t="s">
        <v>178</v>
      </c>
      <c r="H12" t="s">
        <v>178</v>
      </c>
      <c r="I12" t="s">
        <v>179</v>
      </c>
      <c r="K12">
        <v>400</v>
      </c>
      <c r="L12">
        <v>22</v>
      </c>
      <c r="M12" s="6">
        <v>19</v>
      </c>
      <c r="N12">
        <v>50</v>
      </c>
      <c r="O12" t="s">
        <v>180</v>
      </c>
      <c r="P12" t="s">
        <v>181</v>
      </c>
      <c r="R12">
        <v>150</v>
      </c>
      <c r="S12">
        <v>200</v>
      </c>
      <c r="T12">
        <v>30</v>
      </c>
      <c r="U12">
        <v>50</v>
      </c>
      <c r="V12">
        <v>8</v>
      </c>
      <c r="X12" t="s">
        <v>178</v>
      </c>
      <c r="Y12" t="s">
        <v>182</v>
      </c>
      <c r="Z12" t="s">
        <v>183</v>
      </c>
      <c r="AA12" t="s">
        <v>178</v>
      </c>
      <c r="AB12" t="s">
        <v>178</v>
      </c>
      <c r="AC12">
        <v>21</v>
      </c>
      <c r="AD12">
        <v>8</v>
      </c>
      <c r="AE12" t="s">
        <v>184</v>
      </c>
      <c r="AG12" t="s">
        <v>185</v>
      </c>
      <c r="AH12" t="s">
        <v>186</v>
      </c>
      <c r="AI12" t="s">
        <v>178</v>
      </c>
      <c r="AJ12" t="s">
        <v>178</v>
      </c>
      <c r="AL12" t="s">
        <v>178</v>
      </c>
      <c r="AM12" t="s">
        <v>181</v>
      </c>
      <c r="AN12" s="24"/>
      <c r="AO12" s="24" t="s">
        <v>178</v>
      </c>
      <c r="AP12" s="24" t="s">
        <v>178</v>
      </c>
      <c r="AQ12" s="24" t="s">
        <v>178</v>
      </c>
      <c r="AR12" s="24" t="s">
        <v>187</v>
      </c>
      <c r="AS12" s="24" t="s">
        <v>188</v>
      </c>
      <c r="AT12" s="24" t="s">
        <v>189</v>
      </c>
      <c r="AU12" s="24" t="s">
        <v>190</v>
      </c>
      <c r="AW12" t="s">
        <v>178</v>
      </c>
      <c r="AX12" t="s">
        <v>178</v>
      </c>
      <c r="AY12" t="s">
        <v>178</v>
      </c>
      <c r="AZ12" t="s">
        <v>187</v>
      </c>
      <c r="BA12" t="s">
        <v>188</v>
      </c>
      <c r="BB12" t="s">
        <v>189</v>
      </c>
      <c r="BC12" t="s">
        <v>190</v>
      </c>
      <c r="BE12" t="s">
        <v>178</v>
      </c>
      <c r="BF12" t="s">
        <v>178</v>
      </c>
      <c r="BG12" t="s">
        <v>178</v>
      </c>
      <c r="BH12" t="s">
        <v>187</v>
      </c>
      <c r="BI12" t="s">
        <v>188</v>
      </c>
      <c r="BJ12" t="s">
        <v>189</v>
      </c>
      <c r="BK12" t="s">
        <v>190</v>
      </c>
      <c r="BM12" t="s">
        <v>178</v>
      </c>
      <c r="BN12" t="s">
        <v>178</v>
      </c>
      <c r="BO12" t="s">
        <v>178</v>
      </c>
      <c r="BP12" t="s">
        <v>190</v>
      </c>
      <c r="BQ12" s="24" t="s">
        <v>181</v>
      </c>
      <c r="BR12" s="24" t="s">
        <v>181</v>
      </c>
      <c r="BT12" t="s">
        <v>191</v>
      </c>
      <c r="BU12" s="87">
        <v>80500</v>
      </c>
      <c r="BV12" s="87">
        <v>17500</v>
      </c>
      <c r="BW12" s="26">
        <v>630</v>
      </c>
      <c r="BX12" s="26">
        <v>5200</v>
      </c>
      <c r="BZ12" t="s">
        <v>216</v>
      </c>
      <c r="CA12" t="s">
        <v>193</v>
      </c>
      <c r="CC12" t="s">
        <v>222</v>
      </c>
      <c r="CE12" t="s">
        <v>178</v>
      </c>
      <c r="CF12" t="s">
        <v>178</v>
      </c>
      <c r="CH12" t="s">
        <v>178</v>
      </c>
      <c r="CI12" t="s">
        <v>178</v>
      </c>
      <c r="CK12" t="s">
        <v>195</v>
      </c>
      <c r="CL12" t="s">
        <v>178</v>
      </c>
      <c r="CM12" t="s">
        <v>178</v>
      </c>
      <c r="CN12" t="s">
        <v>178</v>
      </c>
      <c r="CP12" t="s">
        <v>196</v>
      </c>
      <c r="CQ12" t="s">
        <v>193</v>
      </c>
      <c r="CS12" t="s">
        <v>223</v>
      </c>
      <c r="CT12" t="s">
        <v>198</v>
      </c>
      <c r="CU12" t="s">
        <v>220</v>
      </c>
      <c r="CV12" t="s">
        <v>224</v>
      </c>
      <c r="CW12" t="s">
        <v>178</v>
      </c>
      <c r="CX12">
        <f t="shared" si="0"/>
        <v>300</v>
      </c>
      <c r="CY12">
        <v>100</v>
      </c>
      <c r="DA12" t="s">
        <v>200</v>
      </c>
      <c r="DB12" t="s">
        <v>181</v>
      </c>
      <c r="DC12" t="s">
        <v>181</v>
      </c>
      <c r="DD12" t="s">
        <v>181</v>
      </c>
      <c r="DE12" t="s">
        <v>181</v>
      </c>
      <c r="DF12" t="s">
        <v>181</v>
      </c>
      <c r="DG12" t="s">
        <v>181</v>
      </c>
      <c r="DH12" t="s">
        <v>181</v>
      </c>
      <c r="DI12" t="s">
        <v>181</v>
      </c>
      <c r="DJ12" t="s">
        <v>181</v>
      </c>
      <c r="DL12" t="s">
        <v>201</v>
      </c>
      <c r="DM12">
        <v>400</v>
      </c>
      <c r="DN12" t="s">
        <v>178</v>
      </c>
      <c r="DO12" t="s">
        <v>202</v>
      </c>
      <c r="DP12" t="s">
        <v>203</v>
      </c>
      <c r="DQ12">
        <v>22</v>
      </c>
      <c r="DS12" t="s">
        <v>201</v>
      </c>
      <c r="DT12" t="s">
        <v>204</v>
      </c>
      <c r="DV12" t="s">
        <v>205</v>
      </c>
      <c r="DW12" t="s">
        <v>206</v>
      </c>
      <c r="DX12" t="s">
        <v>205</v>
      </c>
      <c r="DY12" t="s">
        <v>207</v>
      </c>
      <c r="DZ12" t="s">
        <v>201</v>
      </c>
      <c r="EB12" t="s">
        <v>201</v>
      </c>
      <c r="EC12">
        <v>14</v>
      </c>
      <c r="ED12" t="s">
        <v>208</v>
      </c>
      <c r="EE12" t="s">
        <v>214</v>
      </c>
      <c r="EF12" t="s">
        <v>210</v>
      </c>
      <c r="EG12" s="24"/>
      <c r="EH12" s="24"/>
      <c r="EI12" s="24" t="s">
        <v>178</v>
      </c>
      <c r="EJ12" s="24" t="s">
        <v>178</v>
      </c>
      <c r="EK12" s="24" t="s">
        <v>178</v>
      </c>
      <c r="EL12" s="24" t="s">
        <v>211</v>
      </c>
      <c r="EO12" t="s">
        <v>178</v>
      </c>
      <c r="EP12" t="s">
        <v>178</v>
      </c>
      <c r="EQ12" t="s">
        <v>178</v>
      </c>
      <c r="ER12" t="s">
        <v>212</v>
      </c>
      <c r="ES12" t="s">
        <v>213</v>
      </c>
      <c r="ET12" t="s">
        <v>213</v>
      </c>
      <c r="EU12" s="25">
        <v>230</v>
      </c>
    </row>
    <row r="13" spans="1:151">
      <c r="A13" s="10" t="s">
        <v>52</v>
      </c>
      <c r="C13" t="s">
        <v>178</v>
      </c>
      <c r="D13" t="s">
        <v>178</v>
      </c>
      <c r="E13" s="24" t="s">
        <v>178</v>
      </c>
      <c r="F13" t="s">
        <v>178</v>
      </c>
      <c r="G13" t="s">
        <v>178</v>
      </c>
      <c r="H13" t="s">
        <v>178</v>
      </c>
      <c r="I13" t="s">
        <v>179</v>
      </c>
      <c r="K13">
        <v>400</v>
      </c>
      <c r="L13">
        <v>33</v>
      </c>
      <c r="M13" s="6">
        <v>19</v>
      </c>
      <c r="N13">
        <v>50</v>
      </c>
      <c r="O13" t="s">
        <v>180</v>
      </c>
      <c r="P13" t="s">
        <v>181</v>
      </c>
      <c r="R13">
        <v>200</v>
      </c>
      <c r="S13">
        <v>200</v>
      </c>
      <c r="T13">
        <v>30</v>
      </c>
      <c r="U13">
        <v>70</v>
      </c>
      <c r="V13">
        <v>8</v>
      </c>
      <c r="X13" t="s">
        <v>178</v>
      </c>
      <c r="Y13" t="s">
        <v>182</v>
      </c>
      <c r="Z13" t="s">
        <v>183</v>
      </c>
      <c r="AA13" t="s">
        <v>178</v>
      </c>
      <c r="AB13" t="s">
        <v>178</v>
      </c>
      <c r="AC13">
        <v>21</v>
      </c>
      <c r="AD13">
        <v>8</v>
      </c>
      <c r="AE13" t="s">
        <v>184</v>
      </c>
      <c r="AG13" t="s">
        <v>185</v>
      </c>
      <c r="AH13" t="s">
        <v>186</v>
      </c>
      <c r="AI13" t="s">
        <v>178</v>
      </c>
      <c r="AJ13" t="s">
        <v>178</v>
      </c>
      <c r="AL13" t="s">
        <v>178</v>
      </c>
      <c r="AM13" t="s">
        <v>181</v>
      </c>
      <c r="AN13" s="24"/>
      <c r="AO13" s="24" t="s">
        <v>178</v>
      </c>
      <c r="AP13" s="24" t="s">
        <v>178</v>
      </c>
      <c r="AQ13" s="24" t="s">
        <v>178</v>
      </c>
      <c r="AR13" s="24" t="s">
        <v>187</v>
      </c>
      <c r="AS13" s="24" t="s">
        <v>188</v>
      </c>
      <c r="AT13" s="24" t="s">
        <v>189</v>
      </c>
      <c r="AU13" s="24" t="s">
        <v>190</v>
      </c>
      <c r="AW13" t="s">
        <v>178</v>
      </c>
      <c r="AX13" t="s">
        <v>178</v>
      </c>
      <c r="AY13" t="s">
        <v>178</v>
      </c>
      <c r="AZ13" t="s">
        <v>187</v>
      </c>
      <c r="BA13" t="s">
        <v>188</v>
      </c>
      <c r="BB13" t="s">
        <v>189</v>
      </c>
      <c r="BC13" t="s">
        <v>190</v>
      </c>
      <c r="BE13" t="s">
        <v>178</v>
      </c>
      <c r="BF13" t="s">
        <v>178</v>
      </c>
      <c r="BG13" t="s">
        <v>178</v>
      </c>
      <c r="BH13" t="s">
        <v>187</v>
      </c>
      <c r="BI13" t="s">
        <v>188</v>
      </c>
      <c r="BJ13" t="s">
        <v>189</v>
      </c>
      <c r="BK13" t="s">
        <v>190</v>
      </c>
      <c r="BM13" t="s">
        <v>178</v>
      </c>
      <c r="BN13" t="s">
        <v>178</v>
      </c>
      <c r="BO13" t="s">
        <v>178</v>
      </c>
      <c r="BP13" t="s">
        <v>190</v>
      </c>
      <c r="BQ13" s="24" t="s">
        <v>181</v>
      </c>
      <c r="BR13" s="24" t="s">
        <v>181</v>
      </c>
      <c r="BT13" t="s">
        <v>191</v>
      </c>
      <c r="BU13" s="87">
        <v>80500</v>
      </c>
      <c r="BV13" s="87">
        <v>17500</v>
      </c>
      <c r="BW13" s="26">
        <v>630</v>
      </c>
      <c r="BX13" s="26">
        <v>5200</v>
      </c>
      <c r="BZ13" t="s">
        <v>216</v>
      </c>
      <c r="CA13" t="s">
        <v>193</v>
      </c>
      <c r="CC13" t="s">
        <v>222</v>
      </c>
      <c r="CE13" t="s">
        <v>178</v>
      </c>
      <c r="CF13" t="s">
        <v>178</v>
      </c>
      <c r="CH13" t="s">
        <v>178</v>
      </c>
      <c r="CI13" t="s">
        <v>178</v>
      </c>
      <c r="CK13" t="s">
        <v>195</v>
      </c>
      <c r="CL13" t="s">
        <v>178</v>
      </c>
      <c r="CM13" t="s">
        <v>178</v>
      </c>
      <c r="CN13" t="s">
        <v>178</v>
      </c>
      <c r="CP13" t="s">
        <v>196</v>
      </c>
      <c r="CQ13" t="s">
        <v>193</v>
      </c>
      <c r="CS13" t="s">
        <v>223</v>
      </c>
      <c r="CT13" t="s">
        <v>198</v>
      </c>
      <c r="CU13" t="s">
        <v>220</v>
      </c>
      <c r="CV13" t="s">
        <v>224</v>
      </c>
      <c r="CW13" t="s">
        <v>178</v>
      </c>
      <c r="CX13">
        <f t="shared" si="0"/>
        <v>400</v>
      </c>
      <c r="CY13">
        <v>100</v>
      </c>
      <c r="DA13" t="s">
        <v>200</v>
      </c>
      <c r="DB13" t="s">
        <v>181</v>
      </c>
      <c r="DC13" t="s">
        <v>181</v>
      </c>
      <c r="DD13" t="s">
        <v>181</v>
      </c>
      <c r="DE13" t="s">
        <v>181</v>
      </c>
      <c r="DF13" t="s">
        <v>181</v>
      </c>
      <c r="DG13" t="s">
        <v>181</v>
      </c>
      <c r="DH13" t="s">
        <v>181</v>
      </c>
      <c r="DI13" t="s">
        <v>181</v>
      </c>
      <c r="DJ13" t="s">
        <v>181</v>
      </c>
      <c r="DL13" t="s">
        <v>201</v>
      </c>
      <c r="DM13">
        <v>400</v>
      </c>
      <c r="DN13" t="s">
        <v>178</v>
      </c>
      <c r="DO13" t="s">
        <v>202</v>
      </c>
      <c r="DP13" t="s">
        <v>203</v>
      </c>
      <c r="DQ13">
        <v>22</v>
      </c>
      <c r="DS13" t="s">
        <v>201</v>
      </c>
      <c r="DT13" t="s">
        <v>204</v>
      </c>
      <c r="DV13" t="s">
        <v>205</v>
      </c>
      <c r="DW13" t="s">
        <v>206</v>
      </c>
      <c r="DX13" t="s">
        <v>205</v>
      </c>
      <c r="DY13" t="s">
        <v>207</v>
      </c>
      <c r="DZ13" t="s">
        <v>201</v>
      </c>
      <c r="EB13" t="s">
        <v>201</v>
      </c>
      <c r="EC13">
        <v>14</v>
      </c>
      <c r="ED13" t="s">
        <v>208</v>
      </c>
      <c r="EE13" t="s">
        <v>215</v>
      </c>
      <c r="EF13" t="s">
        <v>210</v>
      </c>
      <c r="EG13" s="24"/>
      <c r="EH13" s="24"/>
      <c r="EI13" s="24" t="s">
        <v>178</v>
      </c>
      <c r="EJ13" s="24" t="s">
        <v>178</v>
      </c>
      <c r="EK13" s="24" t="s">
        <v>178</v>
      </c>
      <c r="EL13" s="24" t="s">
        <v>211</v>
      </c>
      <c r="EO13" t="s">
        <v>178</v>
      </c>
      <c r="EP13" t="s">
        <v>178</v>
      </c>
      <c r="EQ13" t="s">
        <v>178</v>
      </c>
      <c r="ER13" t="s">
        <v>212</v>
      </c>
      <c r="ES13" t="s">
        <v>213</v>
      </c>
      <c r="ET13" t="s">
        <v>213</v>
      </c>
      <c r="EU13" s="25">
        <v>230</v>
      </c>
    </row>
    <row r="14" spans="1:151" s="27" customFormat="1">
      <c r="A14" s="27">
        <v>1</v>
      </c>
      <c r="B14" s="27">
        <v>2</v>
      </c>
      <c r="C14" s="27">
        <v>3</v>
      </c>
      <c r="D14" s="27">
        <v>4</v>
      </c>
      <c r="E14" s="27">
        <v>5</v>
      </c>
      <c r="F14" s="27">
        <v>6</v>
      </c>
      <c r="G14" s="27">
        <v>7</v>
      </c>
      <c r="H14" s="27">
        <v>8</v>
      </c>
      <c r="I14" s="27">
        <v>9</v>
      </c>
      <c r="J14" s="27">
        <v>10</v>
      </c>
      <c r="K14" s="27">
        <v>11</v>
      </c>
      <c r="L14" s="27">
        <v>12</v>
      </c>
      <c r="M14" s="27">
        <v>13</v>
      </c>
      <c r="N14" s="27">
        <v>14</v>
      </c>
      <c r="O14" s="27">
        <v>15</v>
      </c>
      <c r="P14" s="27">
        <v>16</v>
      </c>
      <c r="Q14" s="27">
        <v>17</v>
      </c>
      <c r="R14" s="27">
        <v>18</v>
      </c>
      <c r="S14" s="27">
        <v>19</v>
      </c>
      <c r="T14" s="27">
        <v>20</v>
      </c>
      <c r="U14" s="27">
        <v>21</v>
      </c>
      <c r="V14" s="27">
        <v>22</v>
      </c>
      <c r="W14" s="27">
        <v>23</v>
      </c>
      <c r="X14" s="27">
        <v>24</v>
      </c>
      <c r="Y14" s="27">
        <v>25</v>
      </c>
      <c r="Z14" s="27">
        <v>26</v>
      </c>
      <c r="AA14" s="27">
        <v>27</v>
      </c>
      <c r="AB14" s="27">
        <v>28</v>
      </c>
      <c r="AC14" s="27">
        <v>29</v>
      </c>
      <c r="AD14" s="27">
        <v>30</v>
      </c>
      <c r="AE14" s="27">
        <v>31</v>
      </c>
      <c r="AF14" s="27">
        <v>32</v>
      </c>
      <c r="AG14" s="27">
        <v>33</v>
      </c>
      <c r="AH14" s="27">
        <v>34</v>
      </c>
      <c r="AI14" s="27">
        <v>35</v>
      </c>
      <c r="AJ14" s="27">
        <v>36</v>
      </c>
      <c r="AK14" s="27">
        <v>37</v>
      </c>
      <c r="AL14" s="27">
        <v>38</v>
      </c>
      <c r="AM14" s="27">
        <v>39</v>
      </c>
      <c r="AN14" s="27">
        <v>40</v>
      </c>
      <c r="AO14" s="27">
        <v>41</v>
      </c>
      <c r="AP14" s="27">
        <v>42</v>
      </c>
      <c r="AQ14" s="27">
        <v>43</v>
      </c>
      <c r="AR14" s="27">
        <v>44</v>
      </c>
      <c r="AS14" s="27">
        <v>45</v>
      </c>
      <c r="AT14" s="27">
        <v>46</v>
      </c>
      <c r="AU14" s="27">
        <v>47</v>
      </c>
      <c r="AV14" s="27">
        <v>48</v>
      </c>
      <c r="AW14" s="27">
        <v>49</v>
      </c>
      <c r="AX14" s="27">
        <v>50</v>
      </c>
      <c r="AY14" s="27">
        <v>51</v>
      </c>
      <c r="AZ14" s="27">
        <v>52</v>
      </c>
      <c r="BA14" s="27">
        <v>53</v>
      </c>
      <c r="BB14" s="27">
        <v>54</v>
      </c>
      <c r="BC14" s="27">
        <v>55</v>
      </c>
      <c r="BD14" s="27">
        <v>56</v>
      </c>
      <c r="BE14" s="27">
        <v>57</v>
      </c>
      <c r="BF14" s="27">
        <v>58</v>
      </c>
      <c r="BG14" s="27">
        <v>59</v>
      </c>
      <c r="BH14" s="27">
        <v>60</v>
      </c>
      <c r="BI14" s="27">
        <v>61</v>
      </c>
      <c r="BJ14" s="27">
        <v>62</v>
      </c>
      <c r="BK14" s="27">
        <v>63</v>
      </c>
      <c r="BL14" s="27">
        <v>64</v>
      </c>
      <c r="BM14" s="27">
        <v>65</v>
      </c>
      <c r="BN14" s="27">
        <v>66</v>
      </c>
      <c r="BO14" s="27">
        <v>67</v>
      </c>
      <c r="BP14" s="27">
        <v>68</v>
      </c>
      <c r="BQ14" s="27">
        <v>69</v>
      </c>
      <c r="BR14" s="27">
        <v>70</v>
      </c>
      <c r="BS14" s="27">
        <v>71</v>
      </c>
      <c r="BT14" s="27">
        <v>72</v>
      </c>
      <c r="BU14" s="27">
        <v>73</v>
      </c>
      <c r="BV14" s="27">
        <v>74</v>
      </c>
      <c r="BW14" s="27">
        <v>75</v>
      </c>
      <c r="BX14" s="27">
        <v>76</v>
      </c>
      <c r="BY14" s="27">
        <v>77</v>
      </c>
      <c r="BZ14" s="27">
        <v>78</v>
      </c>
      <c r="CA14" s="27">
        <v>79</v>
      </c>
      <c r="CB14" s="27">
        <v>80</v>
      </c>
      <c r="CC14" s="27">
        <v>81</v>
      </c>
      <c r="CD14" s="27">
        <v>82</v>
      </c>
      <c r="CE14" s="27">
        <v>83</v>
      </c>
      <c r="CF14" s="27">
        <v>84</v>
      </c>
      <c r="CG14" s="27">
        <v>85</v>
      </c>
      <c r="CH14" s="27">
        <v>86</v>
      </c>
      <c r="CI14" s="27">
        <v>87</v>
      </c>
      <c r="CJ14" s="27">
        <v>88</v>
      </c>
      <c r="CK14" s="27">
        <v>89</v>
      </c>
      <c r="CL14" s="27">
        <v>90</v>
      </c>
      <c r="CM14" s="27">
        <v>91</v>
      </c>
      <c r="CN14" s="27">
        <v>92</v>
      </c>
      <c r="CO14" s="27">
        <v>93</v>
      </c>
      <c r="CP14" s="27">
        <v>94</v>
      </c>
      <c r="CQ14" s="27">
        <v>95</v>
      </c>
      <c r="CR14" s="27">
        <v>96</v>
      </c>
      <c r="CS14" s="27">
        <v>97</v>
      </c>
      <c r="CT14" s="27">
        <v>98</v>
      </c>
      <c r="CU14" s="27">
        <v>99</v>
      </c>
      <c r="CV14" s="27">
        <v>100</v>
      </c>
      <c r="CW14" s="27">
        <v>101</v>
      </c>
      <c r="CX14" s="27">
        <v>102</v>
      </c>
      <c r="CY14" s="27">
        <v>103</v>
      </c>
      <c r="CZ14" s="27">
        <v>104</v>
      </c>
      <c r="DA14" s="27">
        <v>105</v>
      </c>
      <c r="DB14" s="27">
        <v>106</v>
      </c>
      <c r="DC14" s="27">
        <v>107</v>
      </c>
      <c r="DD14" s="27">
        <v>108</v>
      </c>
      <c r="DE14" s="27">
        <v>109</v>
      </c>
      <c r="DF14" s="27">
        <v>110</v>
      </c>
      <c r="DG14" s="27">
        <v>111</v>
      </c>
      <c r="DH14" s="27">
        <v>112</v>
      </c>
      <c r="DI14" s="27">
        <v>113</v>
      </c>
      <c r="DJ14" s="27">
        <v>114</v>
      </c>
      <c r="DK14" s="27">
        <v>115</v>
      </c>
      <c r="DL14" s="27">
        <v>116</v>
      </c>
      <c r="DM14" s="27">
        <v>117</v>
      </c>
      <c r="DN14" s="27">
        <v>118</v>
      </c>
      <c r="DO14" s="27">
        <v>119</v>
      </c>
      <c r="DP14" s="27">
        <v>120</v>
      </c>
      <c r="DQ14" s="27">
        <v>121</v>
      </c>
      <c r="DR14" s="27">
        <v>122</v>
      </c>
      <c r="DS14" s="27">
        <v>123</v>
      </c>
      <c r="DT14" s="27">
        <v>124</v>
      </c>
      <c r="DU14" s="27">
        <v>125</v>
      </c>
      <c r="DV14" s="27">
        <v>126</v>
      </c>
      <c r="DW14" s="27">
        <v>127</v>
      </c>
      <c r="DX14" s="27">
        <v>128</v>
      </c>
      <c r="DY14" s="27">
        <v>129</v>
      </c>
      <c r="DZ14" s="27">
        <v>130</v>
      </c>
      <c r="EA14" s="27">
        <v>131</v>
      </c>
      <c r="EB14" s="27">
        <v>132</v>
      </c>
      <c r="EC14" s="27">
        <v>133</v>
      </c>
      <c r="ED14" s="27">
        <v>134</v>
      </c>
      <c r="EE14" s="27">
        <v>135</v>
      </c>
      <c r="EF14" s="27">
        <v>136</v>
      </c>
      <c r="EG14" s="27">
        <v>137</v>
      </c>
      <c r="EH14" s="27">
        <v>138</v>
      </c>
      <c r="EI14" s="27">
        <v>139</v>
      </c>
      <c r="EJ14" s="27">
        <v>140</v>
      </c>
      <c r="EK14" s="27">
        <v>141</v>
      </c>
      <c r="EL14" s="27">
        <v>142</v>
      </c>
      <c r="EM14" s="27">
        <v>143</v>
      </c>
      <c r="EN14" s="27">
        <v>144</v>
      </c>
      <c r="EO14" s="27">
        <v>145</v>
      </c>
      <c r="EP14" s="27">
        <v>146</v>
      </c>
      <c r="EQ14" s="27">
        <v>147</v>
      </c>
      <c r="ER14" s="27">
        <v>148</v>
      </c>
      <c r="ES14" s="27">
        <v>149</v>
      </c>
      <c r="ET14" s="27">
        <v>150</v>
      </c>
      <c r="EU14" s="27">
        <v>151</v>
      </c>
    </row>
    <row r="15" spans="1:151">
      <c r="AN15" t="s">
        <v>225</v>
      </c>
      <c r="AO15" t="s">
        <v>225</v>
      </c>
      <c r="AP15" t="s">
        <v>225</v>
      </c>
      <c r="AQ15" t="s">
        <v>225</v>
      </c>
      <c r="AR15" t="s">
        <v>225</v>
      </c>
      <c r="AS15" t="s">
        <v>225</v>
      </c>
      <c r="AT15" t="s">
        <v>225</v>
      </c>
      <c r="AU15" t="s">
        <v>225</v>
      </c>
      <c r="BQ15" s="24" t="s">
        <v>225</v>
      </c>
      <c r="BR15" s="24" t="s">
        <v>225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BAF1E-E107-4BEB-A661-8B062DC6959D}">
  <sheetPr>
    <tabColor rgb="FF92D050"/>
    <pageSetUpPr fitToPage="1"/>
  </sheetPr>
  <dimension ref="B1:G143"/>
  <sheetViews>
    <sheetView zoomScale="85" zoomScaleNormal="85" zoomScaleSheetLayoutView="70" workbookViewId="0">
      <selection activeCell="D7" sqref="D7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28" bestFit="1" customWidth="1"/>
    <col min="6" max="6" width="22.85546875" customWidth="1"/>
    <col min="7" max="7" width="30.85546875" customWidth="1"/>
  </cols>
  <sheetData>
    <row r="1" spans="2:7" ht="15" thickBot="1"/>
    <row r="2" spans="2:7">
      <c r="B2" s="29"/>
      <c r="C2" s="30"/>
      <c r="D2" s="30"/>
      <c r="E2" s="31"/>
      <c r="F2" s="30"/>
      <c r="G2" s="32"/>
    </row>
    <row r="3" spans="2:7">
      <c r="B3" s="33"/>
      <c r="C3" s="34"/>
      <c r="D3" s="34"/>
      <c r="E3" s="35"/>
      <c r="F3" s="91" t="s">
        <v>226</v>
      </c>
      <c r="G3" s="92"/>
    </row>
    <row r="4" spans="2:7">
      <c r="B4" s="33"/>
      <c r="C4" s="34"/>
      <c r="D4" s="34"/>
      <c r="E4" s="35"/>
      <c r="F4" s="91" t="str">
        <f>'List of Items &amp; Enquiry number'!B14</f>
        <v>Enquiry Number: 123456XYZ</v>
      </c>
      <c r="G4" s="92"/>
    </row>
    <row r="5" spans="2:7">
      <c r="B5" s="33"/>
      <c r="C5" s="34"/>
      <c r="D5" s="34"/>
      <c r="E5" s="35"/>
      <c r="F5" s="34"/>
      <c r="G5" s="36"/>
    </row>
    <row r="6" spans="2:7" ht="28.9">
      <c r="B6" s="37"/>
      <c r="C6" s="38"/>
      <c r="D6" s="39" t="s">
        <v>227</v>
      </c>
      <c r="E6" s="40"/>
      <c r="F6" s="41"/>
      <c r="G6" s="42"/>
    </row>
    <row r="7" spans="2:7">
      <c r="B7" s="33"/>
      <c r="C7" s="34"/>
      <c r="D7" s="43" t="s">
        <v>19</v>
      </c>
      <c r="E7" s="35"/>
      <c r="F7" s="34"/>
      <c r="G7" s="36"/>
    </row>
    <row r="8" spans="2:7">
      <c r="B8" s="33"/>
      <c r="C8" s="34"/>
      <c r="D8" s="76" t="s">
        <v>228</v>
      </c>
      <c r="E8" s="34"/>
      <c r="F8" s="93" t="s">
        <v>229</v>
      </c>
      <c r="G8" s="94"/>
    </row>
    <row r="9" spans="2:7">
      <c r="B9" s="44" t="s">
        <v>230</v>
      </c>
      <c r="C9" s="1"/>
      <c r="D9" s="1"/>
      <c r="E9" s="1"/>
      <c r="F9" s="93"/>
      <c r="G9" s="94"/>
    </row>
    <row r="10" spans="2:7" ht="15" thickBot="1">
      <c r="B10" s="97" t="s">
        <v>231</v>
      </c>
      <c r="C10" s="98"/>
      <c r="D10" s="98"/>
      <c r="E10" s="45"/>
      <c r="F10" s="95"/>
      <c r="G10" s="96"/>
    </row>
    <row r="11" spans="2:7" ht="28.15" customHeight="1" thickBot="1">
      <c r="B11" s="49" t="s">
        <v>232</v>
      </c>
      <c r="C11" s="78" t="s">
        <v>233</v>
      </c>
      <c r="D11" s="47" t="s">
        <v>15</v>
      </c>
      <c r="E11" s="48"/>
      <c r="F11" s="49" t="s">
        <v>234</v>
      </c>
      <c r="G11" s="46" t="s">
        <v>235</v>
      </c>
    </row>
    <row r="12" spans="2:7" ht="21" customHeight="1">
      <c r="B12" s="79">
        <v>1</v>
      </c>
      <c r="C12" s="50"/>
      <c r="D12" s="51" t="s">
        <v>54</v>
      </c>
      <c r="E12" s="52"/>
      <c r="F12" s="50"/>
      <c r="G12" s="53"/>
    </row>
    <row r="13" spans="2:7" ht="45" customHeight="1">
      <c r="B13" s="80">
        <v>1.1000000000000001</v>
      </c>
      <c r="C13" s="3"/>
      <c r="D13" s="54" t="s">
        <v>55</v>
      </c>
      <c r="E13" s="55"/>
      <c r="F13" s="3" t="str">
        <f>VLOOKUP($D$7,'Source Data'!$A$2:$EU$28,3,FALSE)</f>
        <v>xxxxxxxxxxx</v>
      </c>
      <c r="G13" s="4"/>
    </row>
    <row r="14" spans="2:7" ht="45" customHeight="1">
      <c r="B14" s="80">
        <v>1.2000000000000002</v>
      </c>
      <c r="C14" s="3"/>
      <c r="D14" s="54" t="s">
        <v>56</v>
      </c>
      <c r="E14" s="55"/>
      <c r="F14" s="3" t="str">
        <f>VLOOKUP($D$7,'Source Data'!$A$2:$EU$28,4,FALSE)</f>
        <v>xxxxxxxxxxx</v>
      </c>
      <c r="G14" s="4"/>
    </row>
    <row r="15" spans="2:7" ht="45" customHeight="1">
      <c r="B15" s="80">
        <v>1.3</v>
      </c>
      <c r="C15" s="3"/>
      <c r="D15" s="54" t="s">
        <v>58</v>
      </c>
      <c r="E15" s="55"/>
      <c r="F15" s="3" t="str">
        <f>VLOOKUP($D$7,'Source Data'!$A$2:$EU$28,6,FALSE)</f>
        <v>xxxxxxxxxxx</v>
      </c>
      <c r="G15" s="4"/>
    </row>
    <row r="16" spans="2:7" ht="45" customHeight="1">
      <c r="B16" s="80">
        <v>1.4</v>
      </c>
      <c r="C16" s="3"/>
      <c r="D16" s="54" t="s">
        <v>236</v>
      </c>
      <c r="E16" s="55"/>
      <c r="F16" s="3" t="str">
        <f>VLOOKUP($D$7,'Source Data'!$A$2:$EU$28,7,FALSE)</f>
        <v>xxxxxxxxxxx</v>
      </c>
      <c r="G16" s="4"/>
    </row>
    <row r="17" spans="2:7" ht="45" customHeight="1">
      <c r="B17" s="80">
        <v>1.5</v>
      </c>
      <c r="C17" s="3"/>
      <c r="D17" s="54" t="s">
        <v>237</v>
      </c>
      <c r="E17" s="55"/>
      <c r="F17" s="3" t="str">
        <f>VLOOKUP($D$7,'Source Data'!$A$2:$EU$28,8,FALSE)</f>
        <v>xxxxxxxxxxx</v>
      </c>
      <c r="G17" s="4"/>
    </row>
    <row r="18" spans="2:7" ht="45" customHeight="1">
      <c r="B18" s="80">
        <v>1.6</v>
      </c>
      <c r="C18" s="3"/>
      <c r="D18" s="54" t="s">
        <v>61</v>
      </c>
      <c r="E18" s="55"/>
      <c r="F18" s="3" t="str">
        <f>VLOOKUP($D$7,'Source Data'!$A$2:$EU$28,9,FALSE)</f>
        <v>Ester Oil</v>
      </c>
      <c r="G18" s="4"/>
    </row>
    <row r="19" spans="2:7" ht="24.6" customHeight="1">
      <c r="B19" s="81">
        <v>2</v>
      </c>
      <c r="C19" s="3" t="s">
        <v>238</v>
      </c>
      <c r="D19" s="56" t="s">
        <v>62</v>
      </c>
      <c r="E19" s="55"/>
      <c r="F19" s="3"/>
      <c r="G19" s="4"/>
    </row>
    <row r="20" spans="2:7" ht="45" customHeight="1">
      <c r="B20" s="80">
        <v>2.1</v>
      </c>
      <c r="C20" s="3"/>
      <c r="D20" s="54" t="s">
        <v>63</v>
      </c>
      <c r="E20" s="55" t="s">
        <v>239</v>
      </c>
      <c r="F20" s="3">
        <f>VLOOKUP($D$7,'Source Data'!$A$2:$EU$28,11,FALSE)</f>
        <v>50</v>
      </c>
      <c r="G20" s="4"/>
    </row>
    <row r="21" spans="2:7" ht="45" customHeight="1">
      <c r="B21" s="80">
        <v>2.2000000000000002</v>
      </c>
      <c r="C21" s="3"/>
      <c r="D21" s="54" t="s">
        <v>64</v>
      </c>
      <c r="E21" s="55" t="s">
        <v>240</v>
      </c>
      <c r="F21" s="3">
        <f>VLOOKUP($D$7,'Source Data'!$A$2:$EU$28,12,FALSE)</f>
        <v>11</v>
      </c>
      <c r="G21" s="4"/>
    </row>
    <row r="22" spans="2:7" ht="45" customHeight="1">
      <c r="B22" s="80">
        <v>2.3000000000000003</v>
      </c>
      <c r="C22" s="3"/>
      <c r="D22" s="54" t="s">
        <v>241</v>
      </c>
      <c r="E22" s="55" t="s">
        <v>240</v>
      </c>
      <c r="F22" s="3">
        <f>VLOOKUP($D$7,'Source Data'!$A$2:$EU$28,13,FALSE)</f>
        <v>19</v>
      </c>
      <c r="G22" s="4"/>
    </row>
    <row r="23" spans="2:7" ht="45" customHeight="1">
      <c r="B23" s="80">
        <v>2.4000000000000004</v>
      </c>
      <c r="C23" s="3"/>
      <c r="D23" s="54" t="s">
        <v>66</v>
      </c>
      <c r="E23" s="55" t="s">
        <v>242</v>
      </c>
      <c r="F23" s="3">
        <f>VLOOKUP($D$7,'Source Data'!$A$2:$EU$28,14,FALSE)</f>
        <v>50</v>
      </c>
      <c r="G23" s="4"/>
    </row>
    <row r="24" spans="2:7" ht="45" customHeight="1">
      <c r="B24" s="80">
        <v>2.5</v>
      </c>
      <c r="C24" s="3"/>
      <c r="D24" s="54" t="s">
        <v>67</v>
      </c>
      <c r="E24" s="55"/>
      <c r="F24" s="3" t="str">
        <f>VLOOKUP($D$7,'Source Data'!$A$2:$EU$28,15,FALSE)</f>
        <v>1ph</v>
      </c>
      <c r="G24" s="4"/>
    </row>
    <row r="25" spans="2:7" ht="45" customHeight="1">
      <c r="B25" s="80">
        <v>2.6</v>
      </c>
      <c r="C25" s="3"/>
      <c r="D25" s="54" t="s">
        <v>68</v>
      </c>
      <c r="E25" s="55"/>
      <c r="F25" s="3" t="str">
        <f>VLOOKUP($D$7,'Source Data'!$A$2:$EU$28,16,FALSE)</f>
        <v>N/A</v>
      </c>
      <c r="G25" s="4" t="s">
        <v>178</v>
      </c>
    </row>
    <row r="26" spans="2:7" ht="24.6" customHeight="1">
      <c r="B26" s="81">
        <v>3</v>
      </c>
      <c r="C26" s="3" t="s">
        <v>243</v>
      </c>
      <c r="D26" s="56" t="s">
        <v>69</v>
      </c>
      <c r="E26" s="55"/>
      <c r="F26" s="3"/>
      <c r="G26" s="4"/>
    </row>
    <row r="27" spans="2:7" ht="45" customHeight="1">
      <c r="B27" s="80">
        <v>3.1</v>
      </c>
      <c r="C27" s="3"/>
      <c r="D27" s="54" t="s">
        <v>70</v>
      </c>
      <c r="E27" s="55" t="s">
        <v>240</v>
      </c>
      <c r="F27" s="3">
        <f>VLOOKUP($D$7,'Source Data'!$A$2:$EU$28,18,FALSE)</f>
        <v>95</v>
      </c>
      <c r="G27" s="4"/>
    </row>
    <row r="28" spans="2:7" ht="45" customHeight="1">
      <c r="B28" s="80">
        <v>3.2</v>
      </c>
      <c r="C28" s="3"/>
      <c r="D28" s="54" t="s">
        <v>71</v>
      </c>
      <c r="E28" s="55" t="s">
        <v>240</v>
      </c>
      <c r="F28" s="3">
        <f>VLOOKUP($D$7,'Source Data'!$A$2:$EU$28,19,FALSE)</f>
        <v>200</v>
      </c>
      <c r="G28" s="4"/>
    </row>
    <row r="29" spans="2:7" ht="45" customHeight="1">
      <c r="B29" s="80">
        <v>3.3</v>
      </c>
      <c r="C29" s="3"/>
      <c r="D29" s="54" t="s">
        <v>72</v>
      </c>
      <c r="E29" s="55" t="s">
        <v>240</v>
      </c>
      <c r="F29" s="3">
        <f>VLOOKUP($D$7,'Source Data'!$A$2:$EU$28,20,FALSE)</f>
        <v>30</v>
      </c>
      <c r="G29" s="4"/>
    </row>
    <row r="30" spans="2:7" ht="45" customHeight="1">
      <c r="B30" s="80">
        <v>3.4</v>
      </c>
      <c r="C30" s="3"/>
      <c r="D30" s="54" t="s">
        <v>73</v>
      </c>
      <c r="E30" s="55" t="s">
        <v>240</v>
      </c>
      <c r="F30" s="3">
        <f>VLOOKUP($D$7,'Source Data'!$A$2:$EU$28,21,FALSE)</f>
        <v>28</v>
      </c>
      <c r="G30" s="4"/>
    </row>
    <row r="31" spans="2:7" ht="45" customHeight="1">
      <c r="B31" s="80">
        <v>3.5</v>
      </c>
      <c r="C31" s="3"/>
      <c r="D31" s="54" t="s">
        <v>74</v>
      </c>
      <c r="E31" s="55" t="s">
        <v>240</v>
      </c>
      <c r="F31" s="3">
        <f>VLOOKUP($D$7,'Source Data'!$A$2:$EU$28,22,FALSE)</f>
        <v>8</v>
      </c>
      <c r="G31" s="4"/>
    </row>
    <row r="32" spans="2:7" ht="33" customHeight="1">
      <c r="B32" s="81">
        <v>4</v>
      </c>
      <c r="C32" s="3" t="s">
        <v>244</v>
      </c>
      <c r="D32" s="56" t="s">
        <v>75</v>
      </c>
      <c r="E32" s="55"/>
      <c r="F32" s="3"/>
      <c r="G32" s="4"/>
    </row>
    <row r="33" spans="2:7" ht="45" customHeight="1">
      <c r="B33" s="80">
        <v>4.0999999999999996</v>
      </c>
      <c r="C33" s="3"/>
      <c r="D33" s="54" t="s">
        <v>76</v>
      </c>
      <c r="E33" s="55"/>
      <c r="F33" s="3" t="str">
        <f>VLOOKUP($D$7,'Source Data'!$A$2:$EU$28,24,FALSE)</f>
        <v>xxxxxxxxxxx</v>
      </c>
      <c r="G33" s="4"/>
    </row>
    <row r="34" spans="2:7" ht="45" customHeight="1">
      <c r="B34" s="80">
        <v>4.1999999999999993</v>
      </c>
      <c r="C34" s="3"/>
      <c r="D34" s="54" t="s">
        <v>77</v>
      </c>
      <c r="E34" s="55"/>
      <c r="F34" s="3" t="str">
        <f>VLOOKUP($D$7,'Source Data'!$A$2:$EU$28,25,FALSE)</f>
        <v>Grade 3</v>
      </c>
      <c r="G34" s="4"/>
    </row>
    <row r="35" spans="2:7" ht="45" customHeight="1">
      <c r="B35" s="80">
        <v>4.3</v>
      </c>
      <c r="C35" s="3"/>
      <c r="D35" s="54" t="s">
        <v>78</v>
      </c>
      <c r="E35" s="55" t="s">
        <v>245</v>
      </c>
      <c r="F35" s="3" t="str">
        <f>VLOOKUP($D$7,'Source Data'!$A$2:$EU$28,26,FALSE)</f>
        <v>&gt; 0.125</v>
      </c>
      <c r="G35" s="4"/>
    </row>
    <row r="36" spans="2:7" ht="45" customHeight="1">
      <c r="B36" s="80">
        <v>4.3999999999999995</v>
      </c>
      <c r="C36" s="3"/>
      <c r="D36" s="54" t="s">
        <v>79</v>
      </c>
      <c r="E36" s="55"/>
      <c r="F36" s="3" t="str">
        <f>VLOOKUP($D$7,'Source Data'!$A$2:$EU$28,27,FALSE)</f>
        <v>xxxxxxxxxxx</v>
      </c>
      <c r="G36" s="4"/>
    </row>
    <row r="37" spans="2:7" ht="45" customHeight="1">
      <c r="B37" s="80">
        <v>4.5</v>
      </c>
      <c r="C37" s="3"/>
      <c r="D37" s="54" t="s">
        <v>80</v>
      </c>
      <c r="E37" s="55"/>
      <c r="F37" s="3" t="str">
        <f>VLOOKUP($D$7,'Source Data'!$A$2:$EU$28,28,FALSE)</f>
        <v>xxxxxxxxxxx</v>
      </c>
      <c r="G37" s="4"/>
    </row>
    <row r="38" spans="2:7" ht="45" customHeight="1">
      <c r="B38" s="80">
        <v>4.5999999999999996</v>
      </c>
      <c r="C38" s="3"/>
      <c r="D38" s="54" t="s">
        <v>81</v>
      </c>
      <c r="E38" s="55" t="s">
        <v>240</v>
      </c>
      <c r="F38" s="3">
        <f>VLOOKUP($D$7,'Source Data'!$A$2:$EU$28,29,FALSE)</f>
        <v>21</v>
      </c>
      <c r="G38" s="4"/>
    </row>
    <row r="39" spans="2:7" ht="45" customHeight="1">
      <c r="B39" s="80">
        <v>4.7</v>
      </c>
      <c r="C39" s="3"/>
      <c r="D39" s="54" t="s">
        <v>82</v>
      </c>
      <c r="E39" s="55" t="s">
        <v>240</v>
      </c>
      <c r="F39" s="3">
        <f>VLOOKUP($D$7,'Source Data'!$A$2:$EU$28,30,FALSE)</f>
        <v>8</v>
      </c>
      <c r="G39" s="4"/>
    </row>
    <row r="40" spans="2:7" ht="45" customHeight="1">
      <c r="B40" s="80">
        <v>4.8</v>
      </c>
      <c r="C40" s="3"/>
      <c r="D40" s="54" t="s">
        <v>246</v>
      </c>
      <c r="E40" s="55" t="s">
        <v>247</v>
      </c>
      <c r="F40" s="3" t="str">
        <f>VLOOKUP($D$7,'Source Data'!$A$2:$EU$28,31,FALSE)</f>
        <v>&lt;5</v>
      </c>
      <c r="G40" s="4"/>
    </row>
    <row r="41" spans="2:7" ht="45" customHeight="1">
      <c r="B41" s="81">
        <v>5</v>
      </c>
      <c r="C41" s="3" t="s">
        <v>248</v>
      </c>
      <c r="D41" s="56" t="s">
        <v>84</v>
      </c>
      <c r="E41" s="55"/>
      <c r="F41" s="3"/>
      <c r="G41" s="4"/>
    </row>
    <row r="42" spans="2:7" ht="45" customHeight="1">
      <c r="B42" s="80">
        <v>5.0999999999999996</v>
      </c>
      <c r="C42" s="3"/>
      <c r="D42" s="54" t="s">
        <v>85</v>
      </c>
      <c r="E42" s="55" t="s">
        <v>247</v>
      </c>
      <c r="F42" s="3" t="str">
        <f>VLOOKUP($D$7,'Source Data'!$A$2:$EU$28,33,FALSE)</f>
        <v>&lt; 5</v>
      </c>
      <c r="G42" s="4"/>
    </row>
    <row r="43" spans="2:7" ht="45" customHeight="1">
      <c r="B43" s="80">
        <v>5.1999999999999993</v>
      </c>
      <c r="C43" s="3"/>
      <c r="D43" s="54" t="s">
        <v>86</v>
      </c>
      <c r="E43" s="55" t="s">
        <v>247</v>
      </c>
      <c r="F43" s="3" t="str">
        <f>VLOOKUP($D$7,'Source Data'!$A$2:$EU$28,34,FALSE)</f>
        <v xml:space="preserve">&lt; 5 </v>
      </c>
      <c r="G43" s="4"/>
    </row>
    <row r="44" spans="2:7" ht="45" customHeight="1">
      <c r="B44" s="80">
        <v>5.3</v>
      </c>
      <c r="C44" s="3"/>
      <c r="D44" s="54" t="s">
        <v>87</v>
      </c>
      <c r="E44" s="55"/>
      <c r="F44" s="3" t="str">
        <f>VLOOKUP($D$7,'Source Data'!$A$2:$EU$28,35,FALSE)</f>
        <v>xxxxxxxxxxx</v>
      </c>
      <c r="G44" s="4"/>
    </row>
    <row r="45" spans="2:7" ht="45" customHeight="1">
      <c r="B45" s="80">
        <v>5.3999999999999995</v>
      </c>
      <c r="C45" s="3"/>
      <c r="D45" s="54" t="s">
        <v>88</v>
      </c>
      <c r="E45" s="55"/>
      <c r="F45" s="3" t="str">
        <f>VLOOKUP($D$7,'Source Data'!$A$2:$EU$28,36,FALSE)</f>
        <v>xxxxxxxxxxx</v>
      </c>
      <c r="G45" s="4"/>
    </row>
    <row r="46" spans="2:7" ht="27" customHeight="1">
      <c r="B46" s="81">
        <v>6</v>
      </c>
      <c r="C46" s="3" t="s">
        <v>249</v>
      </c>
      <c r="D46" s="56" t="s">
        <v>89</v>
      </c>
      <c r="E46" s="55"/>
      <c r="F46" s="3"/>
      <c r="G46" s="4"/>
    </row>
    <row r="47" spans="2:7" ht="45" customHeight="1">
      <c r="B47" s="80">
        <v>6.1</v>
      </c>
      <c r="C47" s="3"/>
      <c r="D47" s="54" t="s">
        <v>90</v>
      </c>
      <c r="E47" s="55"/>
      <c r="F47" s="3" t="str">
        <f>VLOOKUP($D$7,'Source Data'!$A$2:$EU$28,38,FALSE)</f>
        <v>xxxxxxxxxxx</v>
      </c>
      <c r="G47" s="4" t="s">
        <v>178</v>
      </c>
    </row>
    <row r="48" spans="2:7" ht="31.15" customHeight="1">
      <c r="B48" s="81">
        <v>7</v>
      </c>
      <c r="C48" s="3" t="s">
        <v>250</v>
      </c>
      <c r="D48" s="56" t="s">
        <v>100</v>
      </c>
      <c r="E48" s="55"/>
      <c r="F48" s="3"/>
      <c r="G48" s="4"/>
    </row>
    <row r="49" spans="2:7" ht="45" customHeight="1">
      <c r="B49" s="80">
        <v>7.1</v>
      </c>
      <c r="C49" s="3"/>
      <c r="D49" s="54" t="s">
        <v>93</v>
      </c>
      <c r="E49" s="55"/>
      <c r="F49" s="3" t="str">
        <f>VLOOKUP($D$7,'Source Data'!$A$2:$EU$28,49,FALSE)</f>
        <v>xxxxxxxxxxx</v>
      </c>
      <c r="G49" s="4"/>
    </row>
    <row r="50" spans="2:7" ht="45" customHeight="1">
      <c r="B50" s="80">
        <v>7.2</v>
      </c>
      <c r="C50" s="3"/>
      <c r="D50" s="54" t="s">
        <v>94</v>
      </c>
      <c r="E50" s="55"/>
      <c r="F50" s="3" t="str">
        <f>VLOOKUP($D$7,'Source Data'!$A$2:$EU$28,50,FALSE)</f>
        <v>xxxxxxxxxxx</v>
      </c>
      <c r="G50" s="4"/>
    </row>
    <row r="51" spans="2:7" ht="45" customHeight="1">
      <c r="B51" s="80">
        <v>7.3</v>
      </c>
      <c r="C51" s="3"/>
      <c r="D51" s="54" t="s">
        <v>95</v>
      </c>
      <c r="E51" s="55"/>
      <c r="F51" s="3" t="str">
        <f>VLOOKUP($D$7,'Source Data'!$A$2:$EU$28,51,FALSE)</f>
        <v>xxxxxxxxxxx</v>
      </c>
      <c r="G51" s="4"/>
    </row>
    <row r="52" spans="2:7" ht="45" customHeight="1">
      <c r="B52" s="80">
        <v>7.4</v>
      </c>
      <c r="C52" s="3"/>
      <c r="D52" s="54" t="s">
        <v>96</v>
      </c>
      <c r="E52" s="55" t="s">
        <v>251</v>
      </c>
      <c r="F52" s="3" t="str">
        <f>VLOOKUP($D$7,'Source Data'!$A$2:$EU$28,52,FALSE)</f>
        <v>≥ 31</v>
      </c>
      <c r="G52" s="4"/>
    </row>
    <row r="53" spans="2:7" ht="45" customHeight="1">
      <c r="B53" s="80">
        <v>7.5</v>
      </c>
      <c r="C53" s="3"/>
      <c r="D53" s="54" t="s">
        <v>97</v>
      </c>
      <c r="E53" s="55"/>
      <c r="F53" s="3" t="str">
        <f>VLOOKUP($D$7,'Source Data'!$A$2:$EU$28,53,FALSE)</f>
        <v>Base</v>
      </c>
      <c r="G53" s="4"/>
    </row>
    <row r="54" spans="2:7" ht="45" customHeight="1">
      <c r="B54" s="80">
        <v>7.6</v>
      </c>
      <c r="C54" s="3"/>
      <c r="D54" s="54" t="s">
        <v>98</v>
      </c>
      <c r="E54" s="55"/>
      <c r="F54" s="3" t="str">
        <f>VLOOKUP($D$7,'Source Data'!$A$2:$EU$28,54,FALSE)</f>
        <v>Draw lead</v>
      </c>
      <c r="G54" s="4"/>
    </row>
    <row r="55" spans="2:7" ht="45" customHeight="1">
      <c r="B55" s="80">
        <v>7.7</v>
      </c>
      <c r="C55" s="3"/>
      <c r="D55" s="54" t="s">
        <v>99</v>
      </c>
      <c r="E55" s="55"/>
      <c r="F55" s="3" t="str">
        <f>VLOOKUP($D$7,'Source Data'!$A$2:$EU$28,55,FALSE)</f>
        <v>M12</v>
      </c>
      <c r="G55" s="4"/>
    </row>
    <row r="56" spans="2:7" ht="45" customHeight="1">
      <c r="B56" s="80">
        <v>7.8</v>
      </c>
      <c r="C56" s="3" t="s">
        <v>250</v>
      </c>
      <c r="D56" s="56" t="s">
        <v>101</v>
      </c>
      <c r="E56" s="55"/>
      <c r="F56" s="3"/>
      <c r="G56" s="4"/>
    </row>
    <row r="57" spans="2:7" ht="45" customHeight="1">
      <c r="B57" s="80">
        <v>7.9</v>
      </c>
      <c r="C57" s="3"/>
      <c r="D57" s="2" t="s">
        <v>93</v>
      </c>
      <c r="E57" s="55"/>
      <c r="F57" s="3" t="str">
        <f>VLOOKUP($D$7,'Source Data'!$A$2:$EU$28,57,FALSE)</f>
        <v>xxxxxxxxxxx</v>
      </c>
      <c r="G57" s="4"/>
    </row>
    <row r="58" spans="2:7" ht="45" customHeight="1">
      <c r="B58" s="82" t="s">
        <v>252</v>
      </c>
      <c r="C58" s="3"/>
      <c r="D58" s="2" t="s">
        <v>94</v>
      </c>
      <c r="E58" s="55"/>
      <c r="F58" s="3" t="str">
        <f>VLOOKUP($D$7,'Source Data'!$A$2:$EU$28,58,FALSE)</f>
        <v>xxxxxxxxxxx</v>
      </c>
      <c r="G58" s="4"/>
    </row>
    <row r="59" spans="2:7" ht="45" customHeight="1">
      <c r="B59" s="82" t="s">
        <v>253</v>
      </c>
      <c r="C59" s="3"/>
      <c r="D59" s="2" t="s">
        <v>95</v>
      </c>
      <c r="E59" s="55"/>
      <c r="F59" s="3" t="str">
        <f>VLOOKUP($D$7,'Source Data'!$A$2:$EU$28,59,FALSE)</f>
        <v>xxxxxxxxxxx</v>
      </c>
      <c r="G59" s="4"/>
    </row>
    <row r="60" spans="2:7" ht="45" customHeight="1">
      <c r="B60" s="82" t="s">
        <v>254</v>
      </c>
      <c r="C60" s="3"/>
      <c r="D60" s="2" t="s">
        <v>96</v>
      </c>
      <c r="E60" s="55"/>
      <c r="F60" s="3" t="str">
        <f>VLOOKUP($D$7,'Source Data'!$A$2:$EU$28,60,FALSE)</f>
        <v>≥ 31</v>
      </c>
      <c r="G60" s="4"/>
    </row>
    <row r="61" spans="2:7" ht="45" customHeight="1">
      <c r="B61" s="82" t="s">
        <v>255</v>
      </c>
      <c r="C61" s="3"/>
      <c r="D61" s="2" t="s">
        <v>97</v>
      </c>
      <c r="E61" s="55"/>
      <c r="F61" s="3" t="str">
        <f>VLOOKUP($D$7,'Source Data'!$A$2:$EU$28,61,FALSE)</f>
        <v>Base</v>
      </c>
      <c r="G61" s="4"/>
    </row>
    <row r="62" spans="2:7" ht="45" customHeight="1">
      <c r="B62" s="82" t="s">
        <v>256</v>
      </c>
      <c r="C62" s="3"/>
      <c r="D62" s="2" t="s">
        <v>98</v>
      </c>
      <c r="E62" s="55"/>
      <c r="F62" s="3" t="str">
        <f>VLOOKUP($D$7,'Source Data'!$A$2:$EU$28,62,FALSE)</f>
        <v>Draw lead</v>
      </c>
      <c r="G62" s="4"/>
    </row>
    <row r="63" spans="2:7" ht="45" customHeight="1">
      <c r="B63" s="82" t="s">
        <v>257</v>
      </c>
      <c r="C63" s="3"/>
      <c r="D63" s="2" t="s">
        <v>99</v>
      </c>
      <c r="E63" s="55"/>
      <c r="F63" s="3" t="str">
        <f>VLOOKUP($D$7,'Source Data'!$A$2:$EU$28,63,FALSE)</f>
        <v>M12</v>
      </c>
      <c r="G63" s="4"/>
    </row>
    <row r="64" spans="2:7" ht="15.6">
      <c r="B64" s="81">
        <v>8</v>
      </c>
      <c r="C64" s="3" t="s">
        <v>250</v>
      </c>
      <c r="D64" s="56" t="s">
        <v>102</v>
      </c>
      <c r="E64" s="55"/>
      <c r="F64" s="3"/>
      <c r="G64" s="4"/>
    </row>
    <row r="65" spans="2:7" ht="45" customHeight="1">
      <c r="B65" s="80">
        <v>8.1</v>
      </c>
      <c r="C65" s="3"/>
      <c r="D65" s="54" t="s">
        <v>93</v>
      </c>
      <c r="E65" s="55"/>
      <c r="F65" s="3" t="str">
        <f>VLOOKUP($D$7,'Source Data'!$A$2:$EU$28,65,FALSE)</f>
        <v>xxxxxxxxxxx</v>
      </c>
      <c r="G65" s="4"/>
    </row>
    <row r="66" spans="2:7" ht="45" customHeight="1">
      <c r="B66" s="80">
        <v>8.1999999999999993</v>
      </c>
      <c r="C66" s="3"/>
      <c r="D66" s="54" t="s">
        <v>94</v>
      </c>
      <c r="E66" s="55"/>
      <c r="F66" s="3" t="str">
        <f>VLOOKUP($D$7,'Source Data'!$A$2:$EU$28,66,FALSE)</f>
        <v>xxxxxxxxxxx</v>
      </c>
      <c r="G66" s="4"/>
    </row>
    <row r="67" spans="2:7" ht="45" customHeight="1">
      <c r="B67" s="80">
        <v>8.3000000000000007</v>
      </c>
      <c r="C67" s="3"/>
      <c r="D67" s="54" t="s">
        <v>95</v>
      </c>
      <c r="E67" s="55"/>
      <c r="F67" s="3" t="str">
        <f>VLOOKUP($D$7,'Source Data'!$A$2:$EU$28,67,FALSE)</f>
        <v>xxxxxxxxxxx</v>
      </c>
      <c r="G67" s="4"/>
    </row>
    <row r="68" spans="2:7" ht="45" customHeight="1">
      <c r="B68" s="80">
        <v>8.4</v>
      </c>
      <c r="C68" s="3"/>
      <c r="D68" s="54" t="s">
        <v>99</v>
      </c>
      <c r="E68" s="55"/>
      <c r="F68" s="3" t="str">
        <f>VLOOKUP($D$7,'Source Data'!$A$2:$EU$28,68,FALSE)</f>
        <v>M12</v>
      </c>
      <c r="G68" s="4"/>
    </row>
    <row r="69" spans="2:7" ht="28.15" customHeight="1">
      <c r="B69" s="81">
        <v>9</v>
      </c>
      <c r="C69" s="3" t="s">
        <v>258</v>
      </c>
      <c r="D69" s="56" t="s">
        <v>105</v>
      </c>
      <c r="E69" s="55"/>
      <c r="F69" s="3"/>
      <c r="G69" s="4"/>
    </row>
    <row r="70" spans="2:7" ht="45" customHeight="1">
      <c r="B70" s="80">
        <v>9.1</v>
      </c>
      <c r="C70" s="3"/>
      <c r="D70" s="54" t="s">
        <v>106</v>
      </c>
      <c r="E70" s="55"/>
      <c r="F70" s="3" t="str">
        <f>VLOOKUP($D$7,'Source Data'!$A$2:$EU$28,72,FALSE)</f>
        <v>Distribution</v>
      </c>
      <c r="G70" s="4" t="s">
        <v>178</v>
      </c>
    </row>
    <row r="71" spans="2:7" ht="45" customHeight="1">
      <c r="B71" s="80">
        <v>9.1999999999999993</v>
      </c>
      <c r="C71" s="3"/>
      <c r="D71" s="54" t="s">
        <v>107</v>
      </c>
      <c r="E71" s="55" t="s">
        <v>259</v>
      </c>
      <c r="F71" s="3">
        <f>VLOOKUP($D$7,'Source Data'!$A$2:$EU$28,73,FALSE)</f>
        <v>80500</v>
      </c>
      <c r="G71" s="4" t="s">
        <v>178</v>
      </c>
    </row>
    <row r="72" spans="2:7" ht="45" customHeight="1">
      <c r="B72" s="80">
        <v>9.3000000000000007</v>
      </c>
      <c r="C72" s="3"/>
      <c r="D72" s="54" t="s">
        <v>108</v>
      </c>
      <c r="E72" s="55" t="s">
        <v>259</v>
      </c>
      <c r="F72" s="3">
        <f>VLOOKUP($D$7,'Source Data'!$A$2:$EU$28,74,FALSE)</f>
        <v>17500</v>
      </c>
      <c r="G72" s="4" t="s">
        <v>178</v>
      </c>
    </row>
    <row r="73" spans="2:7" ht="45" customHeight="1">
      <c r="B73" s="80">
        <v>9.4</v>
      </c>
      <c r="C73" s="3"/>
      <c r="D73" s="54" t="s">
        <v>260</v>
      </c>
      <c r="E73" s="55" t="s">
        <v>261</v>
      </c>
      <c r="F73" s="3">
        <f>VLOOKUP($D$7,'Source Data'!$A$2:$EU$28,75,FALSE)</f>
        <v>110</v>
      </c>
      <c r="G73" s="4"/>
    </row>
    <row r="74" spans="2:7" ht="45" customHeight="1">
      <c r="B74" s="80">
        <v>9.5</v>
      </c>
      <c r="C74" s="3"/>
      <c r="D74" s="54" t="s">
        <v>262</v>
      </c>
      <c r="E74" s="55" t="s">
        <v>261</v>
      </c>
      <c r="F74" s="3">
        <f>VLOOKUP($D$7,'Source Data'!$A$2:$EU$28,151,FALSE)</f>
        <v>40</v>
      </c>
      <c r="G74" s="4"/>
    </row>
    <row r="75" spans="2:7" ht="45" customHeight="1">
      <c r="B75" s="80">
        <v>9.6</v>
      </c>
      <c r="C75" s="3"/>
      <c r="D75" s="54" t="s">
        <v>263</v>
      </c>
      <c r="E75" s="55" t="s">
        <v>261</v>
      </c>
      <c r="F75" s="3">
        <f>VLOOKUP($D$7,'Source Data'!$A$2:$EU$28,76,FALSE)</f>
        <v>880</v>
      </c>
      <c r="G75" s="4"/>
    </row>
    <row r="76" spans="2:7" ht="27" customHeight="1">
      <c r="B76" s="81">
        <v>10</v>
      </c>
      <c r="C76" s="3" t="s">
        <v>258</v>
      </c>
      <c r="D76" s="57" t="s">
        <v>111</v>
      </c>
      <c r="E76" s="55"/>
      <c r="F76" s="3"/>
      <c r="G76" s="4"/>
    </row>
    <row r="77" spans="2:7" ht="45" customHeight="1">
      <c r="B77" s="80">
        <v>10.1</v>
      </c>
      <c r="C77" s="3"/>
      <c r="D77" s="58" t="s">
        <v>112</v>
      </c>
      <c r="E77" s="55" t="s">
        <v>264</v>
      </c>
      <c r="F77" s="59" t="str">
        <f>VLOOKUP($D$7,'Source Data'!$A$2:$EU$28,78,FALSE)</f>
        <v>3,0 to 4,5</v>
      </c>
      <c r="G77" s="4"/>
    </row>
    <row r="78" spans="2:7" ht="45" customHeight="1">
      <c r="B78" s="80">
        <v>10.199999999999999</v>
      </c>
      <c r="C78" s="3"/>
      <c r="D78" s="58" t="s">
        <v>113</v>
      </c>
      <c r="E78" s="55"/>
      <c r="F78" s="59" t="str">
        <f>VLOOKUP($D$7,'Source Data'!$A$2:$EU$28,79,FALSE)</f>
        <v>xxxxxxxxxx</v>
      </c>
      <c r="G78" s="4"/>
    </row>
    <row r="79" spans="2:7" ht="27" customHeight="1">
      <c r="B79" s="81">
        <v>11</v>
      </c>
      <c r="C79" s="3"/>
      <c r="D79" s="56" t="s">
        <v>265</v>
      </c>
      <c r="E79" s="55"/>
      <c r="F79" s="3"/>
      <c r="G79" s="4"/>
    </row>
    <row r="80" spans="2:7" ht="45" customHeight="1">
      <c r="B80" s="80">
        <v>11.1</v>
      </c>
      <c r="C80" s="3"/>
      <c r="D80" s="54" t="s">
        <v>115</v>
      </c>
      <c r="E80" s="55" t="s">
        <v>266</v>
      </c>
      <c r="F80" s="59" t="str">
        <f>VLOOKUP($D$7,'Source Data'!$A$2:$EU$28,81,FALSE)</f>
        <v xml:space="preserve">≤ 48 </v>
      </c>
      <c r="G80" s="4"/>
    </row>
    <row r="81" spans="2:7" ht="22.15" customHeight="1">
      <c r="B81" s="81">
        <v>12</v>
      </c>
      <c r="C81" s="3"/>
      <c r="D81" s="56" t="s">
        <v>267</v>
      </c>
      <c r="E81" s="55"/>
      <c r="F81" s="3"/>
      <c r="G81" s="4"/>
    </row>
    <row r="82" spans="2:7" ht="45" customHeight="1">
      <c r="B82" s="80">
        <v>12.1</v>
      </c>
      <c r="C82" s="3"/>
      <c r="D82" s="54" t="s">
        <v>117</v>
      </c>
      <c r="E82" s="55"/>
      <c r="F82" s="59" t="str">
        <f>VLOOKUP($D$7,'Source Data'!$A$2:$EU$28,83,FALSE)</f>
        <v>xxxxxxxxxxx</v>
      </c>
      <c r="G82" s="4"/>
    </row>
    <row r="83" spans="2:7" ht="45" customHeight="1">
      <c r="B83" s="80">
        <v>12.2</v>
      </c>
      <c r="C83" s="3"/>
      <c r="D83" s="54" t="s">
        <v>118</v>
      </c>
      <c r="E83" s="55"/>
      <c r="F83" s="59" t="str">
        <f>VLOOKUP($D$7,'Source Data'!$A$2:$EU$28,84,FALSE)</f>
        <v>xxxxxxxxxxx</v>
      </c>
      <c r="G83" s="4"/>
    </row>
    <row r="84" spans="2:7" ht="21.6" customHeight="1">
      <c r="B84" s="81">
        <v>13</v>
      </c>
      <c r="C84" s="3"/>
      <c r="D84" s="56" t="s">
        <v>119</v>
      </c>
      <c r="E84" s="55"/>
      <c r="F84" s="3"/>
      <c r="G84" s="4"/>
    </row>
    <row r="85" spans="2:7" ht="45" customHeight="1">
      <c r="B85" s="80">
        <v>13.1</v>
      </c>
      <c r="C85" s="3"/>
      <c r="D85" s="54" t="s">
        <v>117</v>
      </c>
      <c r="E85" s="55"/>
      <c r="F85" s="59" t="str">
        <f>VLOOKUP($D$7,'Source Data'!$A$2:$EU$28,86,FALSE)</f>
        <v>xxxxxxxxxxx</v>
      </c>
      <c r="G85" s="4"/>
    </row>
    <row r="86" spans="2:7" ht="45" customHeight="1">
      <c r="B86" s="80">
        <v>13.2</v>
      </c>
      <c r="C86" s="3"/>
      <c r="D86" s="54" t="s">
        <v>118</v>
      </c>
      <c r="E86" s="55"/>
      <c r="F86" s="59" t="str">
        <f>VLOOKUP($D$7,'Source Data'!$A$2:$EU$28,87,FALSE)</f>
        <v>xxxxxxxxxxx</v>
      </c>
      <c r="G86" s="4"/>
    </row>
    <row r="87" spans="2:7" ht="24.6" customHeight="1">
      <c r="B87" s="81">
        <v>14</v>
      </c>
      <c r="C87" s="3"/>
      <c r="D87" s="56" t="s">
        <v>120</v>
      </c>
      <c r="E87" s="55"/>
      <c r="F87" s="3"/>
      <c r="G87" s="4"/>
    </row>
    <row r="88" spans="2:7" ht="45" customHeight="1">
      <c r="B88" s="80">
        <v>14.1</v>
      </c>
      <c r="C88" s="3"/>
      <c r="D88" s="54" t="s">
        <v>121</v>
      </c>
      <c r="E88" s="55"/>
      <c r="F88" s="59" t="str">
        <f>VLOOKUP($D$7,'Source Data'!$A$2:$EU$28,89,FALSE)</f>
        <v>Steel or Amporphous</v>
      </c>
      <c r="G88" s="4"/>
    </row>
    <row r="89" spans="2:7" ht="45" customHeight="1">
      <c r="B89" s="80">
        <v>14.2</v>
      </c>
      <c r="C89" s="3"/>
      <c r="D89" s="54" t="s">
        <v>122</v>
      </c>
      <c r="E89" s="55"/>
      <c r="F89" s="59" t="str">
        <f>VLOOKUP($D$7,'Source Data'!$A$2:$EU$28,90,FALSE)</f>
        <v>xxxxxxxxxxx</v>
      </c>
      <c r="G89" s="4"/>
    </row>
    <row r="90" spans="2:7" ht="45" customHeight="1">
      <c r="B90" s="80">
        <v>14.3</v>
      </c>
      <c r="C90" s="3"/>
      <c r="D90" s="54" t="s">
        <v>123</v>
      </c>
      <c r="E90" s="55"/>
      <c r="F90" s="59" t="str">
        <f>VLOOKUP($D$7,'Source Data'!$A$2:$EU$28,91,FALSE)</f>
        <v>xxxxxxxxxxx</v>
      </c>
      <c r="G90" s="4"/>
    </row>
    <row r="91" spans="2:7" ht="45" customHeight="1">
      <c r="B91" s="80">
        <v>14.4</v>
      </c>
      <c r="C91" s="3"/>
      <c r="D91" s="54" t="s">
        <v>124</v>
      </c>
      <c r="E91" s="55"/>
      <c r="F91" s="59" t="str">
        <f>VLOOKUP($D$7,'Source Data'!$A$2:$EU$28,92,FALSE)</f>
        <v>xxxxxxxxxxx</v>
      </c>
      <c r="G91" s="4"/>
    </row>
    <row r="92" spans="2:7" ht="23.45" customHeight="1">
      <c r="B92" s="81">
        <v>15</v>
      </c>
      <c r="C92" s="3" t="s">
        <v>268</v>
      </c>
      <c r="D92" s="57" t="s">
        <v>125</v>
      </c>
      <c r="E92" s="55"/>
      <c r="F92" s="59"/>
      <c r="G92" s="4"/>
    </row>
    <row r="93" spans="2:7" ht="45" customHeight="1">
      <c r="B93" s="80">
        <v>15.1</v>
      </c>
      <c r="C93" s="3"/>
      <c r="D93" s="54" t="s">
        <v>126</v>
      </c>
      <c r="E93" s="55"/>
      <c r="F93" s="59" t="str">
        <f>VLOOKUP($D$7,'Source Data'!$A$2:$EU$28,94,FALSE)</f>
        <v>Sealed</v>
      </c>
      <c r="G93" s="4"/>
    </row>
    <row r="94" spans="2:7" ht="45" customHeight="1">
      <c r="B94" s="80">
        <v>15.2</v>
      </c>
      <c r="C94" s="3"/>
      <c r="D94" s="54" t="s">
        <v>127</v>
      </c>
      <c r="E94" s="55"/>
      <c r="F94" s="59" t="str">
        <f>VLOOKUP($D$7,'Source Data'!$A$2:$EU$28,95,FALSE)</f>
        <v>xxxxxxxxxx</v>
      </c>
      <c r="G94" s="4"/>
    </row>
    <row r="95" spans="2:7" ht="21.6" customHeight="1">
      <c r="B95" s="81">
        <v>16</v>
      </c>
      <c r="C95" s="3" t="s">
        <v>269</v>
      </c>
      <c r="D95" s="56" t="s">
        <v>128</v>
      </c>
      <c r="E95" s="55"/>
      <c r="F95" s="59"/>
      <c r="G95" s="4"/>
    </row>
    <row r="96" spans="2:7" ht="40.15" customHeight="1">
      <c r="B96" s="80">
        <v>16.100000000000001</v>
      </c>
      <c r="C96" s="3" t="s">
        <v>270</v>
      </c>
      <c r="D96" s="54" t="s">
        <v>129</v>
      </c>
      <c r="E96" s="55" t="s">
        <v>245</v>
      </c>
      <c r="F96" s="59" t="str">
        <f>VLOOKUP($D$7,'Source Data'!$A$2:$EU$28,97,FALSE)</f>
        <v xml:space="preserve">≤ 1 080 </v>
      </c>
      <c r="G96" s="4"/>
    </row>
    <row r="97" spans="2:7" ht="40.15" customHeight="1">
      <c r="B97" s="80">
        <v>16.2</v>
      </c>
      <c r="C97" s="3" t="s">
        <v>270</v>
      </c>
      <c r="D97" s="54" t="s">
        <v>130</v>
      </c>
      <c r="E97" s="55" t="s">
        <v>245</v>
      </c>
      <c r="F97" s="59" t="str">
        <f>VLOOKUP($D$7,'Source Data'!$A$2:$EU$28,98,FALSE)</f>
        <v xml:space="preserve">≤ 1 500 </v>
      </c>
      <c r="G97" s="4"/>
    </row>
    <row r="98" spans="2:7" ht="40.15" customHeight="1">
      <c r="B98" s="80">
        <v>16.3</v>
      </c>
      <c r="C98" s="3" t="s">
        <v>270</v>
      </c>
      <c r="D98" s="54" t="s">
        <v>131</v>
      </c>
      <c r="E98" s="55" t="s">
        <v>245</v>
      </c>
      <c r="F98" s="59" t="str">
        <f>VLOOKUP($D$7,'Source Data'!$A$2:$EU$28,99,FALSE)</f>
        <v xml:space="preserve">≤ 1 500 </v>
      </c>
      <c r="G98" s="4"/>
    </row>
    <row r="99" spans="2:7" ht="40.15" customHeight="1">
      <c r="B99" s="80">
        <v>16.399999999999999</v>
      </c>
      <c r="C99" s="3" t="s">
        <v>270</v>
      </c>
      <c r="D99" s="54" t="s">
        <v>132</v>
      </c>
      <c r="E99" s="55" t="s">
        <v>271</v>
      </c>
      <c r="F99" s="3" t="str">
        <f>VLOOKUP($D$7,'Source Data'!$A$2:$EU$28,100,FALSE)</f>
        <v xml:space="preserve">≤ 900 </v>
      </c>
      <c r="G99" s="4"/>
    </row>
    <row r="100" spans="2:7" ht="40.15" customHeight="1">
      <c r="B100" s="80">
        <v>16.5</v>
      </c>
      <c r="C100" s="3"/>
      <c r="D100" s="54" t="s">
        <v>133</v>
      </c>
      <c r="E100" s="55" t="s">
        <v>272</v>
      </c>
      <c r="F100" s="3" t="str">
        <f>VLOOKUP($D$7,'Source Data'!$A$2:$EU$28,101,FALSE)</f>
        <v>xxxxxxxxxxx</v>
      </c>
      <c r="G100" s="4"/>
    </row>
    <row r="101" spans="2:7" ht="40.15" customHeight="1">
      <c r="B101" s="80">
        <v>16.600000000000001</v>
      </c>
      <c r="C101" s="3"/>
      <c r="D101" s="54" t="s">
        <v>134</v>
      </c>
      <c r="E101" s="55" t="s">
        <v>245</v>
      </c>
      <c r="F101" s="3">
        <f>VLOOKUP($D$7,'Source Data'!$A$2:$EU$28,102,FALSE)</f>
        <v>190</v>
      </c>
      <c r="G101" s="4"/>
    </row>
    <row r="102" spans="2:7" ht="45" customHeight="1">
      <c r="B102" s="80">
        <v>16.7</v>
      </c>
      <c r="C102" s="3" t="s">
        <v>273</v>
      </c>
      <c r="D102" s="54" t="s">
        <v>135</v>
      </c>
      <c r="E102" s="55" t="s">
        <v>245</v>
      </c>
      <c r="F102" s="3">
        <f>VLOOKUP($D$7,'Source Data'!$A$2:$EU$28,103,FALSE)</f>
        <v>100</v>
      </c>
      <c r="G102" s="4"/>
    </row>
    <row r="103" spans="2:7" ht="25.9" customHeight="1">
      <c r="B103" s="81">
        <v>17</v>
      </c>
      <c r="C103" s="3" t="s">
        <v>273</v>
      </c>
      <c r="D103" s="56" t="s">
        <v>136</v>
      </c>
      <c r="E103" s="55"/>
      <c r="F103" s="3"/>
      <c r="G103" s="4"/>
    </row>
    <row r="104" spans="2:7" ht="45" customHeight="1">
      <c r="B104" s="80">
        <v>17.100000000000001</v>
      </c>
      <c r="C104" s="3"/>
      <c r="D104" s="54" t="s">
        <v>137</v>
      </c>
      <c r="E104" s="55"/>
      <c r="F104" s="3" t="str">
        <f>VLOOKUP($D$7,'Source Data'!$A$2:$EU$28,105,FALSE)</f>
        <v>No</v>
      </c>
      <c r="G104" s="4" t="s">
        <v>178</v>
      </c>
    </row>
    <row r="105" spans="2:7" ht="45" customHeight="1">
      <c r="B105" s="80" t="s">
        <v>274</v>
      </c>
      <c r="C105" s="83"/>
      <c r="D105" s="54" t="s">
        <v>138</v>
      </c>
      <c r="E105" s="55"/>
      <c r="F105" s="3" t="str">
        <f>VLOOKUP($D$7,'Source Data'!$A$2:$EU$28,106,FALSE)</f>
        <v>N/A</v>
      </c>
      <c r="G105" s="4" t="s">
        <v>178</v>
      </c>
    </row>
    <row r="106" spans="2:7" ht="45" customHeight="1">
      <c r="B106" s="80" t="s">
        <v>275</v>
      </c>
      <c r="C106" s="83"/>
      <c r="D106" s="58" t="s">
        <v>139</v>
      </c>
      <c r="E106" s="55"/>
      <c r="F106" s="3" t="str">
        <f>VLOOKUP($D$7,'Source Data'!$A$2:$EU$28,107,FALSE)</f>
        <v>N/A</v>
      </c>
      <c r="G106" s="4" t="s">
        <v>178</v>
      </c>
    </row>
    <row r="107" spans="2:7" ht="45" customHeight="1">
      <c r="B107" s="80" t="s">
        <v>276</v>
      </c>
      <c r="C107" s="83"/>
      <c r="D107" s="58" t="s">
        <v>140</v>
      </c>
      <c r="E107" s="55"/>
      <c r="F107" s="3" t="str">
        <f>VLOOKUP($D$7,'Source Data'!$A$2:$EU$28,108,FALSE)</f>
        <v>N/A</v>
      </c>
      <c r="G107" s="4" t="s">
        <v>178</v>
      </c>
    </row>
    <row r="108" spans="2:7" ht="45" customHeight="1">
      <c r="B108" s="80" t="s">
        <v>277</v>
      </c>
      <c r="C108" s="83"/>
      <c r="D108" s="58" t="s">
        <v>141</v>
      </c>
      <c r="E108" s="55"/>
      <c r="F108" s="3" t="str">
        <f>VLOOKUP($D$7,'Source Data'!$A$2:$EU$28,109,FALSE)</f>
        <v>N/A</v>
      </c>
      <c r="G108" s="4"/>
    </row>
    <row r="109" spans="2:7" ht="45" customHeight="1">
      <c r="B109" s="80">
        <v>17.2</v>
      </c>
      <c r="C109" s="3"/>
      <c r="D109" s="54" t="s">
        <v>142</v>
      </c>
      <c r="E109" s="55" t="s">
        <v>245</v>
      </c>
      <c r="F109" s="3" t="str">
        <f>VLOOKUP($D$7,'Source Data'!$A$2:$EU$28,110,FALSE)</f>
        <v>N/A</v>
      </c>
      <c r="G109" s="4" t="s">
        <v>178</v>
      </c>
    </row>
    <row r="110" spans="2:7" ht="45" customHeight="1">
      <c r="B110" s="80">
        <v>17.3</v>
      </c>
      <c r="C110" s="3"/>
      <c r="D110" s="54" t="s">
        <v>143</v>
      </c>
      <c r="E110" s="55" t="s">
        <v>245</v>
      </c>
      <c r="F110" s="3" t="str">
        <f>VLOOKUP($D$7,'Source Data'!$A$2:$EU$28,111,FALSE)</f>
        <v>N/A</v>
      </c>
      <c r="G110" s="4" t="s">
        <v>178</v>
      </c>
    </row>
    <row r="111" spans="2:7" ht="45" customHeight="1">
      <c r="B111" s="80">
        <v>17.399999999999999</v>
      </c>
      <c r="C111" s="3"/>
      <c r="D111" s="54" t="s">
        <v>144</v>
      </c>
      <c r="E111" s="55" t="s">
        <v>245</v>
      </c>
      <c r="F111" s="3" t="str">
        <f>VLOOKUP($D$7,'Source Data'!$A$2:$EU$28,112,FALSE)</f>
        <v>N/A</v>
      </c>
      <c r="G111" s="4" t="s">
        <v>178</v>
      </c>
    </row>
    <row r="112" spans="2:7" ht="45" customHeight="1">
      <c r="B112" s="80">
        <v>17.5</v>
      </c>
      <c r="C112" s="3"/>
      <c r="D112" s="54" t="s">
        <v>145</v>
      </c>
      <c r="E112" s="55" t="s">
        <v>245</v>
      </c>
      <c r="F112" s="3" t="str">
        <f>VLOOKUP($D$7,'Source Data'!$A$2:$EU$28,113,FALSE)</f>
        <v>N/A</v>
      </c>
      <c r="G112" s="4" t="s">
        <v>178</v>
      </c>
    </row>
    <row r="113" spans="2:7" ht="45" customHeight="1">
      <c r="B113" s="80">
        <v>17.600000000000001</v>
      </c>
      <c r="C113" s="3"/>
      <c r="D113" s="54" t="s">
        <v>146</v>
      </c>
      <c r="E113" s="55" t="s">
        <v>245</v>
      </c>
      <c r="F113" s="3" t="str">
        <f>VLOOKUP($D$7,'Source Data'!$A$2:$EU$28,114,FALSE)</f>
        <v>N/A</v>
      </c>
      <c r="G113" s="4" t="s">
        <v>178</v>
      </c>
    </row>
    <row r="114" spans="2:7" ht="45" customHeight="1">
      <c r="B114" s="81">
        <v>18</v>
      </c>
      <c r="C114" s="3" t="s">
        <v>278</v>
      </c>
      <c r="D114" s="56" t="s">
        <v>147</v>
      </c>
      <c r="E114" s="55"/>
      <c r="F114" s="3"/>
      <c r="G114" s="4"/>
    </row>
    <row r="115" spans="2:7" ht="45" customHeight="1">
      <c r="B115" s="80">
        <v>18.100000000000001</v>
      </c>
      <c r="C115" s="3"/>
      <c r="D115" s="54" t="s">
        <v>148</v>
      </c>
      <c r="E115" s="55"/>
      <c r="F115" s="3" t="str">
        <f>VLOOKUP($D$7,'Source Data'!$A$2:$EU$28,116,FALSE)</f>
        <v>Yes</v>
      </c>
      <c r="G115" s="4" t="s">
        <v>178</v>
      </c>
    </row>
    <row r="116" spans="2:7" ht="45" customHeight="1">
      <c r="B116" s="80">
        <v>18.2</v>
      </c>
      <c r="C116" s="3" t="s">
        <v>279</v>
      </c>
      <c r="D116" s="54" t="s">
        <v>149</v>
      </c>
      <c r="E116" s="55" t="s">
        <v>245</v>
      </c>
      <c r="F116" s="3">
        <f>VLOOKUP($D$7,'Source Data'!$A$2:$EU$28,117,FALSE)</f>
        <v>400</v>
      </c>
      <c r="G116" s="4"/>
    </row>
    <row r="117" spans="2:7" ht="45" customHeight="1">
      <c r="B117" s="80">
        <v>18.3</v>
      </c>
      <c r="C117" s="3" t="s">
        <v>279</v>
      </c>
      <c r="D117" s="54" t="s">
        <v>150</v>
      </c>
      <c r="E117" s="55" t="s">
        <v>245</v>
      </c>
      <c r="F117" s="3" t="str">
        <f>VLOOKUP($D$7,'Source Data'!$A$2:$EU$28,118,FALSE)</f>
        <v>xxxxxxxxxxx</v>
      </c>
      <c r="G117" s="4"/>
    </row>
    <row r="118" spans="2:7" ht="45" customHeight="1">
      <c r="B118" s="80">
        <v>18.399999999999999</v>
      </c>
      <c r="C118" s="3" t="s">
        <v>279</v>
      </c>
      <c r="D118" s="54" t="s">
        <v>151</v>
      </c>
      <c r="E118" s="55" t="s">
        <v>245</v>
      </c>
      <c r="F118" s="3" t="str">
        <f>VLOOKUP($D$7,'Source Data'!$A$2:$EU$28,119,FALSE)</f>
        <v>≥ 320</v>
      </c>
      <c r="G118" s="4"/>
    </row>
    <row r="119" spans="2:7" ht="45" customHeight="1">
      <c r="B119" s="80">
        <v>18.5</v>
      </c>
      <c r="C119" s="3" t="s">
        <v>279</v>
      </c>
      <c r="D119" s="54" t="s">
        <v>152</v>
      </c>
      <c r="E119" s="55" t="s">
        <v>245</v>
      </c>
      <c r="F119" s="3" t="str">
        <f>VLOOKUP($D$7,'Source Data'!$A$2:$EU$28,110,FALSE)</f>
        <v>N/A</v>
      </c>
      <c r="G119" s="4"/>
    </row>
    <row r="120" spans="2:7" ht="45" customHeight="1">
      <c r="B120" s="80">
        <v>18.600000000000001</v>
      </c>
      <c r="C120" s="3" t="s">
        <v>279</v>
      </c>
      <c r="D120" s="54" t="s">
        <v>145</v>
      </c>
      <c r="E120" s="55" t="s">
        <v>245</v>
      </c>
      <c r="F120" s="3" t="str">
        <f>VLOOKUP($D$7,'Source Data'!$A$2:$EU$28,111,FALSE)</f>
        <v>N/A</v>
      </c>
      <c r="G120" s="4"/>
    </row>
    <row r="121" spans="2:7" ht="45" customHeight="1">
      <c r="B121" s="81">
        <v>19</v>
      </c>
      <c r="C121" s="3" t="s">
        <v>280</v>
      </c>
      <c r="D121" s="56" t="s">
        <v>153</v>
      </c>
      <c r="E121" s="55"/>
      <c r="F121" s="3"/>
      <c r="G121" s="4"/>
    </row>
    <row r="122" spans="2:7" ht="45" customHeight="1">
      <c r="B122" s="80">
        <v>19.100000000000001</v>
      </c>
      <c r="C122" s="3"/>
      <c r="D122" s="54" t="s">
        <v>154</v>
      </c>
      <c r="E122" s="55"/>
      <c r="F122" s="3" t="str">
        <f>VLOOKUP($D$7,'Source Data'!$A$2:$EU$28,123,FALSE)</f>
        <v>Yes</v>
      </c>
      <c r="G122" s="4"/>
    </row>
    <row r="123" spans="2:7" ht="45" customHeight="1">
      <c r="B123" s="80">
        <v>19.2</v>
      </c>
      <c r="C123" s="3"/>
      <c r="D123" s="54" t="s">
        <v>155</v>
      </c>
      <c r="E123" s="55" t="s">
        <v>245</v>
      </c>
      <c r="F123" s="3" t="str">
        <f>VLOOKUP($D$7,'Source Data'!$A$2:$EU$28,124,FALSE)</f>
        <v xml:space="preserve">≥ 30 </v>
      </c>
      <c r="G123" s="4"/>
    </row>
    <row r="124" spans="2:7" ht="45" customHeight="1">
      <c r="B124" s="81">
        <v>20</v>
      </c>
      <c r="C124" s="3" t="s">
        <v>281</v>
      </c>
      <c r="D124" s="56" t="s">
        <v>156</v>
      </c>
      <c r="E124" s="55"/>
      <c r="F124" s="3"/>
      <c r="G124" s="4"/>
    </row>
    <row r="125" spans="2:7" ht="45" customHeight="1">
      <c r="B125" s="80">
        <v>20.100000000000001</v>
      </c>
      <c r="C125" s="3"/>
      <c r="D125" s="54" t="s">
        <v>157</v>
      </c>
      <c r="E125" s="55"/>
      <c r="F125" s="3" t="str">
        <f>VLOOKUP($D$7,'Source Data'!$A$2:$EU$28,126,FALSE)</f>
        <v>316 Stainless Steel or Mild Steel</v>
      </c>
      <c r="G125" s="4"/>
    </row>
    <row r="126" spans="2:7" ht="45" customHeight="1">
      <c r="B126" s="80">
        <v>20.2</v>
      </c>
      <c r="C126" s="3"/>
      <c r="D126" s="54" t="s">
        <v>158</v>
      </c>
      <c r="E126" s="55" t="s">
        <v>245</v>
      </c>
      <c r="F126" s="3" t="str">
        <f>VLOOKUP($D$7,'Source Data'!$A$2:$EU$28,127,FALSE)</f>
        <v>≥ 30</v>
      </c>
      <c r="G126" s="4"/>
    </row>
    <row r="127" spans="2:7" ht="45" customHeight="1">
      <c r="B127" s="80">
        <v>20.3</v>
      </c>
      <c r="C127" s="3"/>
      <c r="D127" s="54" t="s">
        <v>159</v>
      </c>
      <c r="E127" s="55"/>
      <c r="F127" s="3" t="str">
        <f>VLOOKUP($D$7,'Source Data'!$A$2:$EU$28,128,FALSE)</f>
        <v>316 Stainless Steel or Mild Steel</v>
      </c>
      <c r="G127" s="4"/>
    </row>
    <row r="128" spans="2:7" ht="45" customHeight="1">
      <c r="B128" s="80">
        <v>20.399999999999999</v>
      </c>
      <c r="C128" s="3"/>
      <c r="D128" s="54" t="s">
        <v>160</v>
      </c>
      <c r="E128" s="55" t="s">
        <v>245</v>
      </c>
      <c r="F128" s="3" t="str">
        <f>VLOOKUP($D$7,'Source Data'!$A$2:$EU$28,129,FALSE)</f>
        <v xml:space="preserve">M12 x 25 </v>
      </c>
      <c r="G128" s="4"/>
    </row>
    <row r="129" spans="2:7" ht="45" customHeight="1">
      <c r="B129" s="80">
        <v>20.5</v>
      </c>
      <c r="C129" s="3"/>
      <c r="D129" s="54" t="s">
        <v>161</v>
      </c>
      <c r="E129" s="55"/>
      <c r="F129" s="3" t="str">
        <f>VLOOKUP($D$7,'Source Data'!$A$2:$EU$28,130,FALSE)</f>
        <v>Yes</v>
      </c>
      <c r="G129" s="4"/>
    </row>
    <row r="130" spans="2:7" ht="45" customHeight="1">
      <c r="B130" s="81">
        <v>21</v>
      </c>
      <c r="C130" s="3" t="s">
        <v>282</v>
      </c>
      <c r="D130" s="56" t="s">
        <v>162</v>
      </c>
      <c r="E130" s="55"/>
      <c r="F130" s="3"/>
      <c r="G130" s="4"/>
    </row>
    <row r="131" spans="2:7" ht="45" customHeight="1">
      <c r="B131" s="80">
        <v>21.1</v>
      </c>
      <c r="C131" s="3"/>
      <c r="D131" s="54" t="s">
        <v>163</v>
      </c>
      <c r="E131" s="55"/>
      <c r="F131" s="3" t="str">
        <f>VLOOKUP($D$7,'Source Data'!$A$2:$EU$28,132,FALSE)</f>
        <v>Yes</v>
      </c>
      <c r="G131" s="4"/>
    </row>
    <row r="132" spans="2:7" ht="45" customHeight="1">
      <c r="B132" s="80">
        <v>21.2</v>
      </c>
      <c r="C132" s="3" t="s">
        <v>283</v>
      </c>
      <c r="D132" s="54" t="s">
        <v>145</v>
      </c>
      <c r="E132" s="55" t="s">
        <v>245</v>
      </c>
      <c r="F132" s="3">
        <f>VLOOKUP($D$7,'Source Data'!$A$2:$EU$28,133,FALSE)</f>
        <v>14</v>
      </c>
      <c r="G132" s="4"/>
    </row>
    <row r="133" spans="2:7" ht="45" customHeight="1">
      <c r="B133" s="80">
        <v>21.3</v>
      </c>
      <c r="C133" s="3" t="s">
        <v>283</v>
      </c>
      <c r="D133" s="54" t="s">
        <v>164</v>
      </c>
      <c r="E133" s="55" t="s">
        <v>245</v>
      </c>
      <c r="F133" s="3" t="str">
        <f>VLOOKUP($D$7,'Source Data'!$A$2:$EU$28,134,FALSE)</f>
        <v>≥ 200</v>
      </c>
      <c r="G133" s="4"/>
    </row>
    <row r="134" spans="2:7" ht="45" customHeight="1">
      <c r="B134" s="80">
        <v>21.4</v>
      </c>
      <c r="C134" s="3" t="s">
        <v>283</v>
      </c>
      <c r="D134" s="54" t="s">
        <v>165</v>
      </c>
      <c r="E134" s="55" t="s">
        <v>245</v>
      </c>
      <c r="F134" s="3" t="str">
        <f>VLOOKUP($D$7,'Source Data'!$A$2:$EU$28,135,FALSE)</f>
        <v>≥ 190</v>
      </c>
      <c r="G134" s="4"/>
    </row>
    <row r="135" spans="2:7" ht="45" customHeight="1">
      <c r="B135" s="80">
        <v>21.5</v>
      </c>
      <c r="C135" s="3" t="s">
        <v>283</v>
      </c>
      <c r="D135" s="54" t="s">
        <v>166</v>
      </c>
      <c r="E135" s="55" t="s">
        <v>245</v>
      </c>
      <c r="F135" s="3" t="str">
        <f>VLOOKUP($D$7,'Source Data'!$A$2:$EU$28,136,FALSE)</f>
        <v>≥ 150</v>
      </c>
      <c r="G135" s="4"/>
    </row>
    <row r="136" spans="2:7" ht="45" customHeight="1">
      <c r="B136" s="81">
        <v>22</v>
      </c>
      <c r="C136" s="60">
        <v>3.4</v>
      </c>
      <c r="D136" s="61" t="s">
        <v>173</v>
      </c>
      <c r="E136" s="62"/>
      <c r="F136" s="60"/>
      <c r="G136" s="63"/>
    </row>
    <row r="137" spans="2:7" ht="45" customHeight="1">
      <c r="B137" s="80">
        <v>22.1</v>
      </c>
      <c r="C137" s="3"/>
      <c r="D137" s="64" t="s">
        <v>174</v>
      </c>
      <c r="E137" s="55"/>
      <c r="F137" s="3"/>
      <c r="G137" s="4"/>
    </row>
    <row r="138" spans="2:7" ht="45" customHeight="1">
      <c r="B138" s="80">
        <v>22.2</v>
      </c>
      <c r="C138" s="3"/>
      <c r="D138" s="64" t="s">
        <v>169</v>
      </c>
      <c r="E138" s="55"/>
      <c r="F138" s="3" t="str">
        <f>VLOOKUP($D$7,'Source Data'!$A$2:$EU$28,145,FALSE)</f>
        <v>xxxxxxxxxxx</v>
      </c>
      <c r="G138" s="4"/>
    </row>
    <row r="139" spans="2:7" ht="45" customHeight="1">
      <c r="B139" s="80">
        <v>22.3</v>
      </c>
      <c r="C139" s="3"/>
      <c r="D139" s="64" t="s">
        <v>170</v>
      </c>
      <c r="E139" s="55"/>
      <c r="F139" s="3" t="str">
        <f>VLOOKUP($D$7,'Source Data'!$A$2:$EU$28,146,FALSE)</f>
        <v>xxxxxxxxxxx</v>
      </c>
      <c r="G139" s="4"/>
    </row>
    <row r="140" spans="2:7" ht="45" customHeight="1">
      <c r="B140" s="80">
        <v>22.4</v>
      </c>
      <c r="C140" s="84"/>
      <c r="D140" s="64" t="s">
        <v>171</v>
      </c>
      <c r="E140" s="65"/>
      <c r="F140" s="3" t="str">
        <f>VLOOKUP($D$7,'Source Data'!$A$2:$EU$28,147,FALSE)</f>
        <v>xxxxxxxxxxx</v>
      </c>
      <c r="G140" s="66"/>
    </row>
    <row r="141" spans="2:7" ht="45" customHeight="1">
      <c r="B141" s="80">
        <v>22.5</v>
      </c>
      <c r="C141" s="84"/>
      <c r="D141" s="64" t="s">
        <v>172</v>
      </c>
      <c r="E141" s="65"/>
      <c r="F141" s="3" t="str">
        <f>VLOOKUP($D$7,'Source Data'!$A$2:$EU$28,148,FALSE)</f>
        <v>Azure Blue</v>
      </c>
      <c r="G141" s="66"/>
    </row>
    <row r="142" spans="2:7" ht="151.15">
      <c r="B142" s="85">
        <v>23</v>
      </c>
      <c r="C142" s="84">
        <v>4.2</v>
      </c>
      <c r="D142" s="61" t="s">
        <v>284</v>
      </c>
      <c r="E142" s="65"/>
      <c r="F142" s="3" t="str">
        <f>VLOOKUP($D$7,'Source Data'!$A$2:$EU$28,149,FALSE)</f>
        <v>Report Numbers</v>
      </c>
      <c r="G142" s="66"/>
    </row>
    <row r="143" spans="2:7" ht="241.9" thickBot="1">
      <c r="B143" s="86">
        <v>24</v>
      </c>
      <c r="C143" s="67">
        <v>4.3</v>
      </c>
      <c r="D143" s="68" t="s">
        <v>285</v>
      </c>
      <c r="E143" s="69"/>
      <c r="F143" s="67" t="str">
        <f>VLOOKUP($D$7,'Source Data'!$A$2:$EU$28,150,FALSE)</f>
        <v>Report Numbers</v>
      </c>
      <c r="G143" s="70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rowBreaks count="4" manualBreakCount="4">
    <brk id="37" min="1" max="6" man="1"/>
    <brk id="68" min="1" max="6" man="1"/>
    <brk id="102" min="1" max="6" man="1"/>
    <brk id="123" min="1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F5A31CE-E428-4FBE-9C9B-F0E80B04F83C}">
          <x14:formula1>
            <xm:f>'List of Items &amp; Enquiry number'!$C$19:$C$30</xm:f>
          </x14:formula1>
          <xm:sqref>D7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72C7E-FB7F-435E-A119-40CFE7FB1DF9}">
  <dimension ref="A1:K44"/>
  <sheetViews>
    <sheetView zoomScaleNormal="100" workbookViewId="0">
      <selection sqref="A1:G1"/>
    </sheetView>
  </sheetViews>
  <sheetFormatPr defaultColWidth="15.28515625" defaultRowHeight="14.45"/>
  <sheetData>
    <row r="1" spans="1:11" ht="16.899999999999999">
      <c r="A1" s="101" t="s">
        <v>286</v>
      </c>
      <c r="B1" s="101"/>
      <c r="C1" s="101"/>
      <c r="D1" s="101"/>
      <c r="E1" s="101"/>
      <c r="F1" s="101"/>
      <c r="G1" s="101"/>
    </row>
    <row r="2" spans="1:11" ht="17.45">
      <c r="A2" s="102" t="s">
        <v>287</v>
      </c>
      <c r="B2" s="102"/>
      <c r="C2" s="102"/>
      <c r="D2" s="102"/>
      <c r="E2" s="102"/>
      <c r="F2" s="102"/>
      <c r="G2" s="102"/>
    </row>
    <row r="3" spans="1:11" ht="18.600000000000001" thickBot="1">
      <c r="A3" s="103" t="s">
        <v>288</v>
      </c>
      <c r="B3" s="103"/>
      <c r="C3" s="103"/>
      <c r="D3" s="103"/>
      <c r="E3" s="103"/>
      <c r="F3" s="103"/>
      <c r="G3" s="103"/>
      <c r="I3" s="104" t="s">
        <v>289</v>
      </c>
      <c r="J3" s="104"/>
      <c r="K3" s="104"/>
    </row>
    <row r="4" spans="1:11" ht="15" thickBot="1">
      <c r="A4" s="105" t="s">
        <v>290</v>
      </c>
      <c r="B4" s="106"/>
      <c r="C4" s="106"/>
      <c r="D4" s="106"/>
      <c r="E4" s="106"/>
      <c r="F4" s="106"/>
      <c r="G4" s="107"/>
    </row>
    <row r="5" spans="1:11" ht="15" thickBot="1">
      <c r="A5" s="11" t="s">
        <v>232</v>
      </c>
      <c r="B5" s="11" t="s">
        <v>291</v>
      </c>
      <c r="C5" s="108" t="s">
        <v>292</v>
      </c>
      <c r="D5" s="109"/>
      <c r="E5" s="109"/>
      <c r="F5" s="109"/>
      <c r="G5" s="110"/>
    </row>
    <row r="6" spans="1:11">
      <c r="A6" s="12"/>
      <c r="B6" s="12"/>
      <c r="C6" s="111"/>
      <c r="D6" s="111"/>
      <c r="E6" s="111"/>
      <c r="F6" s="111"/>
      <c r="G6" s="112"/>
    </row>
    <row r="7" spans="1:11">
      <c r="A7" s="13"/>
      <c r="B7" s="13"/>
      <c r="C7" s="99"/>
      <c r="D7" s="99"/>
      <c r="E7" s="99"/>
      <c r="F7" s="99"/>
      <c r="G7" s="100"/>
    </row>
    <row r="8" spans="1:11">
      <c r="A8" s="13"/>
      <c r="B8" s="13"/>
      <c r="C8" s="99"/>
      <c r="D8" s="99"/>
      <c r="E8" s="99"/>
      <c r="F8" s="99"/>
      <c r="G8" s="100"/>
    </row>
    <row r="9" spans="1:11">
      <c r="A9" s="13"/>
      <c r="B9" s="13"/>
      <c r="C9" s="99"/>
      <c r="D9" s="99"/>
      <c r="E9" s="99"/>
      <c r="F9" s="99"/>
      <c r="G9" s="100"/>
    </row>
    <row r="10" spans="1:11">
      <c r="A10" s="13"/>
      <c r="B10" s="13"/>
      <c r="C10" s="99"/>
      <c r="D10" s="99"/>
      <c r="E10" s="99"/>
      <c r="F10" s="99"/>
      <c r="G10" s="100"/>
    </row>
    <row r="11" spans="1:11">
      <c r="A11" s="13"/>
      <c r="B11" s="13"/>
      <c r="C11" s="99"/>
      <c r="D11" s="99"/>
      <c r="E11" s="99"/>
      <c r="F11" s="99"/>
      <c r="G11" s="100"/>
    </row>
    <row r="12" spans="1:11">
      <c r="A12" s="13"/>
      <c r="B12" s="13"/>
      <c r="C12" s="99"/>
      <c r="D12" s="99"/>
      <c r="E12" s="99"/>
      <c r="F12" s="99"/>
      <c r="G12" s="100"/>
    </row>
    <row r="13" spans="1:11">
      <c r="A13" s="13"/>
      <c r="B13" s="13"/>
      <c r="C13" s="99"/>
      <c r="D13" s="99"/>
      <c r="E13" s="99"/>
      <c r="F13" s="99"/>
      <c r="G13" s="100"/>
    </row>
    <row r="14" spans="1:11">
      <c r="A14" s="13"/>
      <c r="B14" s="13"/>
      <c r="C14" s="99"/>
      <c r="D14" s="99"/>
      <c r="E14" s="99"/>
      <c r="F14" s="99"/>
      <c r="G14" s="100"/>
    </row>
    <row r="15" spans="1:11">
      <c r="A15" s="13"/>
      <c r="B15" s="13"/>
      <c r="C15" s="99"/>
      <c r="D15" s="99"/>
      <c r="E15" s="99"/>
      <c r="F15" s="99"/>
      <c r="G15" s="100"/>
    </row>
    <row r="16" spans="1:11">
      <c r="A16" s="13"/>
      <c r="B16" s="13"/>
      <c r="C16" s="99"/>
      <c r="D16" s="99"/>
      <c r="E16" s="99"/>
      <c r="F16" s="99"/>
      <c r="G16" s="100"/>
    </row>
    <row r="17" spans="1:7">
      <c r="A17" s="13"/>
      <c r="B17" s="13"/>
      <c r="C17" s="99"/>
      <c r="D17" s="99"/>
      <c r="E17" s="99"/>
      <c r="F17" s="99"/>
      <c r="G17" s="100"/>
    </row>
    <row r="18" spans="1:7">
      <c r="A18" s="13"/>
      <c r="B18" s="13"/>
      <c r="C18" s="99"/>
      <c r="D18" s="99"/>
      <c r="E18" s="99"/>
      <c r="F18" s="99"/>
      <c r="G18" s="100"/>
    </row>
    <row r="19" spans="1:7">
      <c r="A19" s="13"/>
      <c r="B19" s="13"/>
      <c r="C19" s="99"/>
      <c r="D19" s="99"/>
      <c r="E19" s="99"/>
      <c r="F19" s="99"/>
      <c r="G19" s="100"/>
    </row>
    <row r="20" spans="1:7">
      <c r="A20" s="13"/>
      <c r="B20" s="13"/>
      <c r="C20" s="99"/>
      <c r="D20" s="99"/>
      <c r="E20" s="99"/>
      <c r="F20" s="99"/>
      <c r="G20" s="100"/>
    </row>
    <row r="21" spans="1:7">
      <c r="A21" s="13"/>
      <c r="B21" s="13"/>
      <c r="C21" s="99"/>
      <c r="D21" s="99"/>
      <c r="E21" s="99"/>
      <c r="F21" s="99"/>
      <c r="G21" s="100"/>
    </row>
    <row r="22" spans="1:7">
      <c r="A22" s="13"/>
      <c r="B22" s="13"/>
      <c r="C22" s="99"/>
      <c r="D22" s="99"/>
      <c r="E22" s="99"/>
      <c r="F22" s="99"/>
      <c r="G22" s="100"/>
    </row>
    <row r="23" spans="1:7">
      <c r="A23" s="13"/>
      <c r="B23" s="13"/>
      <c r="C23" s="99"/>
      <c r="D23" s="99"/>
      <c r="E23" s="99"/>
      <c r="F23" s="99"/>
      <c r="G23" s="100"/>
    </row>
    <row r="24" spans="1:7">
      <c r="A24" s="13"/>
      <c r="B24" s="13"/>
      <c r="C24" s="99"/>
      <c r="D24" s="99"/>
      <c r="E24" s="99"/>
      <c r="F24" s="99"/>
      <c r="G24" s="100"/>
    </row>
    <row r="25" spans="1:7">
      <c r="A25" s="13"/>
      <c r="B25" s="13"/>
      <c r="C25" s="99"/>
      <c r="D25" s="99"/>
      <c r="E25" s="99"/>
      <c r="F25" s="99"/>
      <c r="G25" s="100"/>
    </row>
    <row r="26" spans="1:7">
      <c r="A26" s="13"/>
      <c r="B26" s="13"/>
      <c r="C26" s="99"/>
      <c r="D26" s="99"/>
      <c r="E26" s="99"/>
      <c r="F26" s="99"/>
      <c r="G26" s="100"/>
    </row>
    <row r="27" spans="1:7">
      <c r="A27" s="13"/>
      <c r="B27" s="13"/>
      <c r="C27" s="99"/>
      <c r="D27" s="99"/>
      <c r="E27" s="99"/>
      <c r="F27" s="99"/>
      <c r="G27" s="100"/>
    </row>
    <row r="28" spans="1:7">
      <c r="A28" s="13"/>
      <c r="B28" s="13"/>
      <c r="C28" s="99"/>
      <c r="D28" s="99"/>
      <c r="E28" s="99"/>
      <c r="F28" s="99"/>
      <c r="G28" s="100"/>
    </row>
    <row r="29" spans="1:7">
      <c r="A29" s="13"/>
      <c r="B29" s="13"/>
      <c r="C29" s="99"/>
      <c r="D29" s="99"/>
      <c r="E29" s="99"/>
      <c r="F29" s="99"/>
      <c r="G29" s="100"/>
    </row>
    <row r="30" spans="1:7">
      <c r="A30" s="13"/>
      <c r="B30" s="13"/>
      <c r="C30" s="99"/>
      <c r="D30" s="99"/>
      <c r="E30" s="99"/>
      <c r="F30" s="99"/>
      <c r="G30" s="100"/>
    </row>
    <row r="31" spans="1:7">
      <c r="A31" s="13"/>
      <c r="B31" s="13"/>
      <c r="C31" s="99"/>
      <c r="D31" s="99"/>
      <c r="E31" s="99"/>
      <c r="F31" s="99"/>
      <c r="G31" s="100"/>
    </row>
    <row r="32" spans="1:7">
      <c r="A32" s="13"/>
      <c r="B32" s="13"/>
      <c r="C32" s="99"/>
      <c r="D32" s="99"/>
      <c r="E32" s="99"/>
      <c r="F32" s="99"/>
      <c r="G32" s="100"/>
    </row>
    <row r="33" spans="1:7">
      <c r="A33" s="13"/>
      <c r="B33" s="13"/>
      <c r="C33" s="99"/>
      <c r="D33" s="99"/>
      <c r="E33" s="99"/>
      <c r="F33" s="99"/>
      <c r="G33" s="100"/>
    </row>
    <row r="34" spans="1:7">
      <c r="A34" s="13"/>
      <c r="B34" s="13"/>
      <c r="C34" s="99"/>
      <c r="D34" s="99"/>
      <c r="E34" s="99"/>
      <c r="F34" s="99"/>
      <c r="G34" s="100"/>
    </row>
    <row r="35" spans="1:7" ht="15" thickBot="1">
      <c r="A35" s="14"/>
      <c r="B35" s="14"/>
      <c r="C35" s="113"/>
      <c r="D35" s="113"/>
      <c r="E35" s="113"/>
      <c r="F35" s="113"/>
      <c r="G35" s="114"/>
    </row>
    <row r="36" spans="1:7" ht="15.6">
      <c r="A36" s="15"/>
      <c r="B36" s="15"/>
      <c r="C36" s="15"/>
      <c r="D36" s="16"/>
      <c r="E36" s="17"/>
      <c r="F36" s="17"/>
      <c r="G36" s="17"/>
    </row>
    <row r="37" spans="1:7" ht="15.6">
      <c r="A37" s="15"/>
      <c r="B37" s="115" t="s">
        <v>293</v>
      </c>
      <c r="C37" s="115"/>
      <c r="D37" s="115"/>
      <c r="E37" s="115"/>
      <c r="F37" s="115"/>
      <c r="G37" s="115"/>
    </row>
    <row r="38" spans="1:7">
      <c r="A38" s="18"/>
      <c r="B38" s="18"/>
      <c r="C38" s="19"/>
      <c r="D38" s="20"/>
      <c r="E38" s="20"/>
      <c r="F38" s="20"/>
    </row>
    <row r="39" spans="1:7" ht="15.6">
      <c r="A39" s="21"/>
      <c r="B39" s="18" t="s">
        <v>294</v>
      </c>
      <c r="C39" s="19"/>
      <c r="D39" s="22"/>
      <c r="E39" s="20"/>
    </row>
    <row r="40" spans="1:7">
      <c r="B40" s="116" t="s">
        <v>295</v>
      </c>
      <c r="C40" s="116"/>
      <c r="D40" s="116"/>
      <c r="E40" s="20"/>
      <c r="F40" s="116" t="s">
        <v>296</v>
      </c>
      <c r="G40" s="116"/>
    </row>
    <row r="41" spans="1:7">
      <c r="A41" s="23"/>
      <c r="B41" s="20"/>
      <c r="C41" s="19"/>
      <c r="D41" s="20"/>
      <c r="E41" s="20"/>
      <c r="F41" s="20"/>
    </row>
    <row r="42" spans="1:7">
      <c r="A42" s="23"/>
      <c r="B42" s="20"/>
      <c r="C42" s="19"/>
      <c r="D42" s="20"/>
      <c r="E42" s="20"/>
      <c r="F42" s="20"/>
    </row>
    <row r="43" spans="1:7">
      <c r="B43" s="20"/>
      <c r="D43" s="22"/>
      <c r="F43" s="20"/>
    </row>
    <row r="44" spans="1:7">
      <c r="B44" s="116" t="s">
        <v>297</v>
      </c>
      <c r="C44" s="116"/>
      <c r="D44" s="116"/>
      <c r="F44" s="116" t="s">
        <v>298</v>
      </c>
      <c r="G44" s="116"/>
    </row>
  </sheetData>
  <mergeCells count="41">
    <mergeCell ref="B37:G37"/>
    <mergeCell ref="B40:D40"/>
    <mergeCell ref="F40:G40"/>
    <mergeCell ref="B44:D44"/>
    <mergeCell ref="F44:G44"/>
    <mergeCell ref="C35:G35"/>
    <mergeCell ref="C24:G24"/>
    <mergeCell ref="C25:G25"/>
    <mergeCell ref="C26:G26"/>
    <mergeCell ref="C27:G27"/>
    <mergeCell ref="C28:G28"/>
    <mergeCell ref="C29:G29"/>
    <mergeCell ref="C30:G30"/>
    <mergeCell ref="C31:G31"/>
    <mergeCell ref="C32:G32"/>
    <mergeCell ref="C33:G33"/>
    <mergeCell ref="C34:G34"/>
    <mergeCell ref="C23:G23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11:G11"/>
    <mergeCell ref="A1:G1"/>
    <mergeCell ref="A2:G2"/>
    <mergeCell ref="A3:G3"/>
    <mergeCell ref="I3:K3"/>
    <mergeCell ref="A4:G4"/>
    <mergeCell ref="C5:G5"/>
    <mergeCell ref="C6:G6"/>
    <mergeCell ref="C7:G7"/>
    <mergeCell ref="C8:G8"/>
    <mergeCell ref="C9:G9"/>
    <mergeCell ref="C10:G10"/>
  </mergeCells>
  <conditionalFormatting sqref="E36:F36">
    <cfRule type="cellIs" dxfId="3" priority="4" stopIfTrue="1" operator="equal">
      <formula>"??"</formula>
    </cfRule>
  </conditionalFormatting>
  <conditionalFormatting sqref="D41:E42 E39:E40 B43:B44">
    <cfRule type="cellIs" dxfId="2" priority="1" stopIfTrue="1" operator="equal">
      <formula>"?"</formula>
    </cfRule>
    <cfRule type="cellIs" dxfId="1" priority="2" stopIfTrue="1" operator="equal">
      <formula>"??"</formula>
    </cfRule>
  </conditionalFormatting>
  <conditionalFormatting sqref="D38:E38">
    <cfRule type="cellIs" dxfId="0" priority="3" stopIfTrue="1" operator="equal">
      <formula>"??"</formula>
    </cfRule>
  </conditionalFormatting>
  <pageMargins left="0.7" right="0.7" top="0.75" bottom="0.75" header="0.3" footer="0.3"/>
  <pageSetup scale="8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5E34D-B271-4086-BDAC-F1077DCC59D4}">
  <sheetPr>
    <pageSetUpPr fitToPage="1"/>
  </sheetPr>
  <dimension ref="B1:G143"/>
  <sheetViews>
    <sheetView tabSelected="1" topLeftCell="A82" zoomScale="85" zoomScaleNormal="85" zoomScaleSheetLayoutView="70" workbookViewId="0">
      <selection activeCell="D79" sqref="D79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28" bestFit="1" customWidth="1"/>
    <col min="6" max="6" width="22.85546875" customWidth="1"/>
    <col min="7" max="7" width="30.85546875" customWidth="1"/>
  </cols>
  <sheetData>
    <row r="1" spans="2:7" ht="15" thickBot="1"/>
    <row r="2" spans="2:7">
      <c r="B2" s="29"/>
      <c r="C2" s="30"/>
      <c r="D2" s="30"/>
      <c r="E2" s="31"/>
      <c r="F2" s="30"/>
      <c r="G2" s="32"/>
    </row>
    <row r="3" spans="2:7">
      <c r="B3" s="33"/>
      <c r="C3" s="34"/>
      <c r="D3" s="34"/>
      <c r="E3" s="35"/>
      <c r="F3" s="91" t="s">
        <v>226</v>
      </c>
      <c r="G3" s="92"/>
    </row>
    <row r="4" spans="2:7">
      <c r="B4" s="33"/>
      <c r="C4" s="34"/>
      <c r="D4" s="34"/>
      <c r="E4" s="35"/>
      <c r="F4" s="91" t="str">
        <f>'List of Items &amp; Enquiry number'!B14</f>
        <v>Enquiry Number: 123456XYZ</v>
      </c>
      <c r="G4" s="92"/>
    </row>
    <row r="5" spans="2:7">
      <c r="B5" s="33"/>
      <c r="C5" s="34"/>
      <c r="D5" s="34"/>
      <c r="E5" s="35"/>
      <c r="F5" s="34"/>
      <c r="G5" s="36"/>
    </row>
    <row r="6" spans="2:7" ht="28.9">
      <c r="B6" s="37"/>
      <c r="C6" s="38"/>
      <c r="D6" s="39" t="s">
        <v>227</v>
      </c>
      <c r="E6" s="40"/>
      <c r="F6" s="41"/>
      <c r="G6" s="42"/>
    </row>
    <row r="7" spans="2:7">
      <c r="B7" s="33"/>
      <c r="C7" s="34"/>
      <c r="D7" s="43" t="s">
        <v>19</v>
      </c>
      <c r="E7" s="35"/>
      <c r="F7" s="34"/>
      <c r="G7" s="36"/>
    </row>
    <row r="8" spans="2:7">
      <c r="B8" s="33"/>
      <c r="C8" s="34"/>
      <c r="D8" s="76" t="s">
        <v>228</v>
      </c>
      <c r="E8" s="34"/>
      <c r="F8" s="93" t="s">
        <v>229</v>
      </c>
      <c r="G8" s="94"/>
    </row>
    <row r="9" spans="2:7">
      <c r="B9" s="44" t="s">
        <v>230</v>
      </c>
      <c r="C9" s="1"/>
      <c r="D9" s="1"/>
      <c r="E9" s="1"/>
      <c r="F9" s="93"/>
      <c r="G9" s="94"/>
    </row>
    <row r="10" spans="2:7" ht="15" thickBot="1">
      <c r="B10" s="97" t="s">
        <v>231</v>
      </c>
      <c r="C10" s="98"/>
      <c r="D10" s="98"/>
      <c r="E10" s="45"/>
      <c r="F10" s="95"/>
      <c r="G10" s="96"/>
    </row>
    <row r="11" spans="2:7" ht="28.15" customHeight="1" thickBot="1">
      <c r="B11" s="49" t="s">
        <v>232</v>
      </c>
      <c r="C11" s="78" t="s">
        <v>233</v>
      </c>
      <c r="D11" s="47" t="s">
        <v>15</v>
      </c>
      <c r="E11" s="48"/>
      <c r="F11" s="49" t="s">
        <v>234</v>
      </c>
      <c r="G11" s="46" t="s">
        <v>235</v>
      </c>
    </row>
    <row r="12" spans="2:7" ht="21" customHeight="1">
      <c r="B12" s="79">
        <v>1</v>
      </c>
      <c r="C12" s="50"/>
      <c r="D12" s="51" t="s">
        <v>54</v>
      </c>
      <c r="E12" s="52"/>
      <c r="F12" s="50"/>
      <c r="G12" s="53"/>
    </row>
    <row r="13" spans="2:7" ht="45" customHeight="1">
      <c r="B13" s="80">
        <v>1.1000000000000001</v>
      </c>
      <c r="C13" s="3"/>
      <c r="D13" s="54" t="s">
        <v>55</v>
      </c>
      <c r="E13" s="55"/>
      <c r="F13" s="3" t="str">
        <f>VLOOKUP($D$7,'Source Data'!$A$2:$EU$28,3,FALSE)</f>
        <v>xxxxxxxxxxx</v>
      </c>
      <c r="G13" s="4"/>
    </row>
    <row r="14" spans="2:7" ht="45" customHeight="1">
      <c r="B14" s="80">
        <v>1.2000000000000002</v>
      </c>
      <c r="C14" s="3"/>
      <c r="D14" s="54" t="s">
        <v>56</v>
      </c>
      <c r="E14" s="55"/>
      <c r="F14" s="3" t="str">
        <f>VLOOKUP($D$7,'Source Data'!$A$2:$EU$28,4,FALSE)</f>
        <v>xxxxxxxxxxx</v>
      </c>
      <c r="G14" s="4"/>
    </row>
    <row r="15" spans="2:7" ht="45" customHeight="1">
      <c r="B15" s="80">
        <v>1.3</v>
      </c>
      <c r="C15" s="3"/>
      <c r="D15" s="54" t="s">
        <v>58</v>
      </c>
      <c r="E15" s="55"/>
      <c r="F15" s="3" t="str">
        <f>VLOOKUP($D$7,'Source Data'!$A$2:$EU$28,6,FALSE)</f>
        <v>xxxxxxxxxxx</v>
      </c>
      <c r="G15" s="4"/>
    </row>
    <row r="16" spans="2:7" ht="45" customHeight="1">
      <c r="B16" s="80">
        <v>1.4</v>
      </c>
      <c r="C16" s="3"/>
      <c r="D16" s="54" t="s">
        <v>236</v>
      </c>
      <c r="E16" s="55"/>
      <c r="F16" s="3" t="str">
        <f>VLOOKUP($D$7,'Source Data'!$A$2:$EU$28,7,FALSE)</f>
        <v>xxxxxxxxxxx</v>
      </c>
      <c r="G16" s="4"/>
    </row>
    <row r="17" spans="2:7" ht="45" customHeight="1">
      <c r="B17" s="80">
        <v>1.5</v>
      </c>
      <c r="C17" s="3"/>
      <c r="D17" s="54" t="s">
        <v>237</v>
      </c>
      <c r="E17" s="55"/>
      <c r="F17" s="3" t="str">
        <f>VLOOKUP($D$7,'Source Data'!$A$2:$EU$28,8,FALSE)</f>
        <v>xxxxxxxxxxx</v>
      </c>
      <c r="G17" s="4"/>
    </row>
    <row r="18" spans="2:7" ht="45" customHeight="1">
      <c r="B18" s="80">
        <v>1.6</v>
      </c>
      <c r="C18" s="3"/>
      <c r="D18" s="54" t="s">
        <v>61</v>
      </c>
      <c r="E18" s="55"/>
      <c r="F18" s="3" t="str">
        <f>VLOOKUP($D$7,'Source Data'!$A$2:$EU$28,9,FALSE)</f>
        <v>Ester Oil</v>
      </c>
      <c r="G18" s="4"/>
    </row>
    <row r="19" spans="2:7" ht="24.6" customHeight="1">
      <c r="B19" s="81">
        <v>2</v>
      </c>
      <c r="C19" s="3" t="s">
        <v>238</v>
      </c>
      <c r="D19" s="56" t="s">
        <v>62</v>
      </c>
      <c r="E19" s="55"/>
      <c r="F19" s="3"/>
      <c r="G19" s="4"/>
    </row>
    <row r="20" spans="2:7" ht="45" customHeight="1">
      <c r="B20" s="80">
        <v>2.1</v>
      </c>
      <c r="C20" s="3"/>
      <c r="D20" s="54" t="s">
        <v>63</v>
      </c>
      <c r="E20" s="55" t="s">
        <v>239</v>
      </c>
      <c r="F20" s="3">
        <f>VLOOKUP($D$7,'Source Data'!$A$2:$EU$28,11,FALSE)</f>
        <v>50</v>
      </c>
      <c r="G20" s="4"/>
    </row>
    <row r="21" spans="2:7" ht="45" customHeight="1">
      <c r="B21" s="80">
        <v>2.2000000000000002</v>
      </c>
      <c r="C21" s="3"/>
      <c r="D21" s="54" t="s">
        <v>64</v>
      </c>
      <c r="E21" s="55" t="s">
        <v>240</v>
      </c>
      <c r="F21" s="3">
        <f>VLOOKUP($D$7,'Source Data'!$A$2:$EU$28,12,FALSE)</f>
        <v>11</v>
      </c>
      <c r="G21" s="4"/>
    </row>
    <row r="22" spans="2:7" ht="45" customHeight="1">
      <c r="B22" s="80">
        <v>2.3000000000000003</v>
      </c>
      <c r="C22" s="3"/>
      <c r="D22" s="54" t="s">
        <v>241</v>
      </c>
      <c r="E22" s="55" t="s">
        <v>240</v>
      </c>
      <c r="F22" s="3">
        <f>VLOOKUP($D$7,'Source Data'!$A$2:$EU$28,13,FALSE)</f>
        <v>19</v>
      </c>
      <c r="G22" s="4"/>
    </row>
    <row r="23" spans="2:7" ht="45" customHeight="1">
      <c r="B23" s="80">
        <v>2.4000000000000004</v>
      </c>
      <c r="C23" s="3"/>
      <c r="D23" s="54" t="s">
        <v>66</v>
      </c>
      <c r="E23" s="55" t="s">
        <v>242</v>
      </c>
      <c r="F23" s="3">
        <f>VLOOKUP($D$7,'Source Data'!$A$2:$EU$28,14,FALSE)</f>
        <v>50</v>
      </c>
      <c r="G23" s="4"/>
    </row>
    <row r="24" spans="2:7" ht="45" customHeight="1">
      <c r="B24" s="80">
        <v>2.5</v>
      </c>
      <c r="C24" s="3"/>
      <c r="D24" s="54" t="s">
        <v>67</v>
      </c>
      <c r="E24" s="55"/>
      <c r="F24" s="3" t="str">
        <f>VLOOKUP($D$7,'Source Data'!$A$2:$EU$28,15,FALSE)</f>
        <v>1ph</v>
      </c>
      <c r="G24" s="4"/>
    </row>
    <row r="25" spans="2:7" ht="45" customHeight="1">
      <c r="B25" s="80">
        <v>2.6</v>
      </c>
      <c r="C25" s="3"/>
      <c r="D25" s="54" t="s">
        <v>68</v>
      </c>
      <c r="E25" s="55"/>
      <c r="F25" s="3" t="str">
        <f>VLOOKUP($D$7,'Source Data'!$A$2:$EU$28,16,FALSE)</f>
        <v>N/A</v>
      </c>
      <c r="G25" s="4" t="s">
        <v>178</v>
      </c>
    </row>
    <row r="26" spans="2:7" ht="24.6" customHeight="1">
      <c r="B26" s="81">
        <v>3</v>
      </c>
      <c r="C26" s="3" t="s">
        <v>243</v>
      </c>
      <c r="D26" s="56" t="s">
        <v>69</v>
      </c>
      <c r="E26" s="55"/>
      <c r="F26" s="3"/>
      <c r="G26" s="4"/>
    </row>
    <row r="27" spans="2:7" ht="45" customHeight="1">
      <c r="B27" s="80">
        <v>3.1</v>
      </c>
      <c r="C27" s="3"/>
      <c r="D27" s="54" t="s">
        <v>70</v>
      </c>
      <c r="E27" s="55" t="s">
        <v>240</v>
      </c>
      <c r="F27" s="3">
        <f>VLOOKUP($D$7,'Source Data'!$A$2:$EU$28,18,FALSE)</f>
        <v>95</v>
      </c>
      <c r="G27" s="4"/>
    </row>
    <row r="28" spans="2:7" ht="45" customHeight="1">
      <c r="B28" s="80">
        <v>3.2</v>
      </c>
      <c r="C28" s="3"/>
      <c r="D28" s="54" t="s">
        <v>71</v>
      </c>
      <c r="E28" s="55" t="s">
        <v>240</v>
      </c>
      <c r="F28" s="3">
        <f>VLOOKUP($D$7,'Source Data'!$A$2:$EU$28,19,FALSE)</f>
        <v>200</v>
      </c>
      <c r="G28" s="4"/>
    </row>
    <row r="29" spans="2:7" ht="45" customHeight="1">
      <c r="B29" s="80">
        <v>3.3</v>
      </c>
      <c r="C29" s="3"/>
      <c r="D29" s="54" t="s">
        <v>72</v>
      </c>
      <c r="E29" s="55" t="s">
        <v>240</v>
      </c>
      <c r="F29" s="3">
        <f>VLOOKUP($D$7,'Source Data'!$A$2:$EU$28,20,FALSE)</f>
        <v>30</v>
      </c>
      <c r="G29" s="4"/>
    </row>
    <row r="30" spans="2:7" ht="45" customHeight="1">
      <c r="B30" s="80">
        <v>3.4</v>
      </c>
      <c r="C30" s="3"/>
      <c r="D30" s="54" t="s">
        <v>73</v>
      </c>
      <c r="E30" s="55" t="s">
        <v>240</v>
      </c>
      <c r="F30" s="3">
        <f>VLOOKUP($D$7,'Source Data'!$A$2:$EU$28,21,FALSE)</f>
        <v>28</v>
      </c>
      <c r="G30" s="4"/>
    </row>
    <row r="31" spans="2:7" ht="45" customHeight="1">
      <c r="B31" s="80">
        <v>3.5</v>
      </c>
      <c r="C31" s="3"/>
      <c r="D31" s="54" t="s">
        <v>74</v>
      </c>
      <c r="E31" s="55" t="s">
        <v>240</v>
      </c>
      <c r="F31" s="3">
        <f>VLOOKUP($D$7,'Source Data'!$A$2:$EU$28,22,FALSE)</f>
        <v>8</v>
      </c>
      <c r="G31" s="4"/>
    </row>
    <row r="32" spans="2:7" ht="33" customHeight="1">
      <c r="B32" s="81">
        <v>4</v>
      </c>
      <c r="C32" s="3" t="s">
        <v>244</v>
      </c>
      <c r="D32" s="56" t="s">
        <v>75</v>
      </c>
      <c r="E32" s="55"/>
      <c r="F32" s="3"/>
      <c r="G32" s="4"/>
    </row>
    <row r="33" spans="2:7" ht="45" customHeight="1">
      <c r="B33" s="80">
        <v>4.0999999999999996</v>
      </c>
      <c r="C33" s="3"/>
      <c r="D33" s="54" t="s">
        <v>76</v>
      </c>
      <c r="E33" s="55"/>
      <c r="F33" s="3" t="str">
        <f>VLOOKUP($D$7,'Source Data'!$A$2:$EU$28,24,FALSE)</f>
        <v>xxxxxxxxxxx</v>
      </c>
      <c r="G33" s="4"/>
    </row>
    <row r="34" spans="2:7" ht="45" customHeight="1">
      <c r="B34" s="80">
        <v>4.1999999999999993</v>
      </c>
      <c r="C34" s="3"/>
      <c r="D34" s="54" t="s">
        <v>77</v>
      </c>
      <c r="E34" s="55"/>
      <c r="F34" s="3" t="str">
        <f>VLOOKUP($D$7,'Source Data'!$A$2:$EU$28,25,FALSE)</f>
        <v>Grade 3</v>
      </c>
      <c r="G34" s="4"/>
    </row>
    <row r="35" spans="2:7" ht="45" customHeight="1">
      <c r="B35" s="80">
        <v>4.3</v>
      </c>
      <c r="C35" s="3"/>
      <c r="D35" s="54" t="s">
        <v>78</v>
      </c>
      <c r="E35" s="55" t="s">
        <v>245</v>
      </c>
      <c r="F35" s="3" t="str">
        <f>VLOOKUP($D$7,'Source Data'!$A$2:$EU$28,26,FALSE)</f>
        <v>&gt; 0.125</v>
      </c>
      <c r="G35" s="4"/>
    </row>
    <row r="36" spans="2:7" ht="45" customHeight="1">
      <c r="B36" s="80">
        <v>4.3999999999999995</v>
      </c>
      <c r="C36" s="3"/>
      <c r="D36" s="54" t="s">
        <v>79</v>
      </c>
      <c r="E36" s="55"/>
      <c r="F36" s="3" t="str">
        <f>VLOOKUP($D$7,'Source Data'!$A$2:$EU$28,27,FALSE)</f>
        <v>xxxxxxxxxxx</v>
      </c>
      <c r="G36" s="4"/>
    </row>
    <row r="37" spans="2:7" ht="45" customHeight="1">
      <c r="B37" s="80">
        <v>4.5</v>
      </c>
      <c r="C37" s="3"/>
      <c r="D37" s="54" t="s">
        <v>80</v>
      </c>
      <c r="E37" s="55"/>
      <c r="F37" s="3" t="str">
        <f>VLOOKUP($D$7,'Source Data'!$A$2:$EU$28,28,FALSE)</f>
        <v>xxxxxxxxxxx</v>
      </c>
      <c r="G37" s="4"/>
    </row>
    <row r="38" spans="2:7" ht="45" customHeight="1">
      <c r="B38" s="80">
        <v>4.5999999999999996</v>
      </c>
      <c r="C38" s="3"/>
      <c r="D38" s="54" t="s">
        <v>81</v>
      </c>
      <c r="E38" s="55" t="s">
        <v>240</v>
      </c>
      <c r="F38" s="3">
        <f>VLOOKUP($D$7,'Source Data'!$A$2:$EU$28,29,FALSE)</f>
        <v>21</v>
      </c>
      <c r="G38" s="4"/>
    </row>
    <row r="39" spans="2:7" ht="45" customHeight="1">
      <c r="B39" s="80">
        <v>4.7</v>
      </c>
      <c r="C39" s="3"/>
      <c r="D39" s="54" t="s">
        <v>82</v>
      </c>
      <c r="E39" s="55" t="s">
        <v>240</v>
      </c>
      <c r="F39" s="3">
        <f>VLOOKUP($D$7,'Source Data'!$A$2:$EU$28,30,FALSE)</f>
        <v>8</v>
      </c>
      <c r="G39" s="4"/>
    </row>
    <row r="40" spans="2:7" ht="45" customHeight="1">
      <c r="B40" s="80">
        <v>4.8</v>
      </c>
      <c r="C40" s="3"/>
      <c r="D40" s="54" t="s">
        <v>246</v>
      </c>
      <c r="E40" s="55" t="s">
        <v>247</v>
      </c>
      <c r="F40" s="3" t="str">
        <f>VLOOKUP($D$7,'Source Data'!$A$2:$EU$28,31,FALSE)</f>
        <v>&lt;5</v>
      </c>
      <c r="G40" s="4"/>
    </row>
    <row r="41" spans="2:7" ht="45" customHeight="1">
      <c r="B41" s="81">
        <v>5</v>
      </c>
      <c r="C41" s="3" t="s">
        <v>248</v>
      </c>
      <c r="D41" s="56" t="s">
        <v>84</v>
      </c>
      <c r="E41" s="55"/>
      <c r="F41" s="3"/>
      <c r="G41" s="4"/>
    </row>
    <row r="42" spans="2:7" ht="45" customHeight="1">
      <c r="B42" s="80">
        <v>5.0999999999999996</v>
      </c>
      <c r="C42" s="3"/>
      <c r="D42" s="54" t="s">
        <v>85</v>
      </c>
      <c r="E42" s="55" t="s">
        <v>247</v>
      </c>
      <c r="F42" s="3" t="str">
        <f>VLOOKUP($D$7,'Source Data'!$A$2:$EU$28,33,FALSE)</f>
        <v>&lt; 5</v>
      </c>
      <c r="G42" s="4"/>
    </row>
    <row r="43" spans="2:7" ht="45" customHeight="1">
      <c r="B43" s="80">
        <v>5.1999999999999993</v>
      </c>
      <c r="C43" s="3"/>
      <c r="D43" s="54" t="s">
        <v>86</v>
      </c>
      <c r="E43" s="55" t="s">
        <v>247</v>
      </c>
      <c r="F43" s="3" t="str">
        <f>VLOOKUP($D$7,'Source Data'!$A$2:$EU$28,34,FALSE)</f>
        <v xml:space="preserve">&lt; 5 </v>
      </c>
      <c r="G43" s="4"/>
    </row>
    <row r="44" spans="2:7" ht="45" customHeight="1">
      <c r="B44" s="80">
        <v>5.3</v>
      </c>
      <c r="C44" s="3"/>
      <c r="D44" s="54" t="s">
        <v>87</v>
      </c>
      <c r="E44" s="55"/>
      <c r="F44" s="3" t="str">
        <f>VLOOKUP($D$7,'Source Data'!$A$2:$EU$28,35,FALSE)</f>
        <v>xxxxxxxxxxx</v>
      </c>
      <c r="G44" s="4"/>
    </row>
    <row r="45" spans="2:7" ht="45" customHeight="1">
      <c r="B45" s="80">
        <v>5.3999999999999995</v>
      </c>
      <c r="C45" s="3"/>
      <c r="D45" s="54" t="s">
        <v>88</v>
      </c>
      <c r="E45" s="55"/>
      <c r="F45" s="3" t="str">
        <f>VLOOKUP($D$7,'Source Data'!$A$2:$EU$28,36,FALSE)</f>
        <v>xxxxxxxxxxx</v>
      </c>
      <c r="G45" s="4"/>
    </row>
    <row r="46" spans="2:7" ht="27" customHeight="1">
      <c r="B46" s="81">
        <v>6</v>
      </c>
      <c r="C46" s="3" t="s">
        <v>249</v>
      </c>
      <c r="D46" s="56" t="s">
        <v>89</v>
      </c>
      <c r="E46" s="55"/>
      <c r="F46" s="3"/>
      <c r="G46" s="4"/>
    </row>
    <row r="47" spans="2:7" ht="45" customHeight="1">
      <c r="B47" s="80">
        <v>6.1</v>
      </c>
      <c r="C47" s="3"/>
      <c r="D47" s="54" t="s">
        <v>90</v>
      </c>
      <c r="E47" s="55"/>
      <c r="F47" s="3" t="str">
        <f>VLOOKUP($D$7,'Source Data'!$A$2:$EU$28,38,FALSE)</f>
        <v>xxxxxxxxxxx</v>
      </c>
      <c r="G47" s="4" t="s">
        <v>178</v>
      </c>
    </row>
    <row r="48" spans="2:7" ht="31.15" customHeight="1">
      <c r="B48" s="81">
        <v>7</v>
      </c>
      <c r="C48" s="3" t="s">
        <v>250</v>
      </c>
      <c r="D48" s="56" t="s">
        <v>100</v>
      </c>
      <c r="E48" s="55"/>
      <c r="F48" s="3"/>
      <c r="G48" s="4"/>
    </row>
    <row r="49" spans="2:7" ht="45" customHeight="1">
      <c r="B49" s="80">
        <v>7.1</v>
      </c>
      <c r="C49" s="3"/>
      <c r="D49" s="54" t="s">
        <v>93</v>
      </c>
      <c r="E49" s="55"/>
      <c r="F49" s="3" t="str">
        <f>VLOOKUP($D$7,'Source Data'!$A$2:$EU$28,49,FALSE)</f>
        <v>xxxxxxxxxxx</v>
      </c>
      <c r="G49" s="4"/>
    </row>
    <row r="50" spans="2:7" ht="45" customHeight="1">
      <c r="B50" s="80">
        <v>7.2</v>
      </c>
      <c r="C50" s="3"/>
      <c r="D50" s="54" t="s">
        <v>94</v>
      </c>
      <c r="E50" s="55"/>
      <c r="F50" s="3" t="str">
        <f>VLOOKUP($D$7,'Source Data'!$A$2:$EU$28,50,FALSE)</f>
        <v>xxxxxxxxxxx</v>
      </c>
      <c r="G50" s="4"/>
    </row>
    <row r="51" spans="2:7" ht="45" customHeight="1">
      <c r="B51" s="80">
        <v>7.3</v>
      </c>
      <c r="C51" s="3"/>
      <c r="D51" s="54" t="s">
        <v>95</v>
      </c>
      <c r="E51" s="55"/>
      <c r="F51" s="3" t="str">
        <f>VLOOKUP($D$7,'Source Data'!$A$2:$EU$28,51,FALSE)</f>
        <v>xxxxxxxxxxx</v>
      </c>
      <c r="G51" s="4"/>
    </row>
    <row r="52" spans="2:7" ht="45" customHeight="1">
      <c r="B52" s="80">
        <v>7.4</v>
      </c>
      <c r="C52" s="3"/>
      <c r="D52" s="54" t="s">
        <v>96</v>
      </c>
      <c r="E52" s="55" t="s">
        <v>251</v>
      </c>
      <c r="F52" s="3" t="str">
        <f>VLOOKUP($D$7,'Source Data'!$A$2:$EU$28,52,FALSE)</f>
        <v>≥ 31</v>
      </c>
      <c r="G52" s="4"/>
    </row>
    <row r="53" spans="2:7" ht="45" customHeight="1">
      <c r="B53" s="80">
        <v>7.5</v>
      </c>
      <c r="C53" s="3"/>
      <c r="D53" s="54" t="s">
        <v>97</v>
      </c>
      <c r="E53" s="55"/>
      <c r="F53" s="3" t="str">
        <f>VLOOKUP($D$7,'Source Data'!$A$2:$EU$28,53,FALSE)</f>
        <v>Base</v>
      </c>
      <c r="G53" s="4"/>
    </row>
    <row r="54" spans="2:7" ht="45" customHeight="1">
      <c r="B54" s="80">
        <v>7.6</v>
      </c>
      <c r="C54" s="3"/>
      <c r="D54" s="54" t="s">
        <v>98</v>
      </c>
      <c r="E54" s="55"/>
      <c r="F54" s="3" t="str">
        <f>VLOOKUP($D$7,'Source Data'!$A$2:$EU$28,54,FALSE)</f>
        <v>Draw lead</v>
      </c>
      <c r="G54" s="4"/>
    </row>
    <row r="55" spans="2:7" ht="45" customHeight="1">
      <c r="B55" s="80">
        <v>7.7</v>
      </c>
      <c r="C55" s="3"/>
      <c r="D55" s="54" t="s">
        <v>99</v>
      </c>
      <c r="E55" s="55"/>
      <c r="F55" s="3" t="str">
        <f>VLOOKUP($D$7,'Source Data'!$A$2:$EU$28,55,FALSE)</f>
        <v>M12</v>
      </c>
      <c r="G55" s="4"/>
    </row>
    <row r="56" spans="2:7" ht="45" customHeight="1">
      <c r="B56" s="80">
        <v>7.8</v>
      </c>
      <c r="C56" s="3" t="s">
        <v>250</v>
      </c>
      <c r="D56" s="56" t="s">
        <v>101</v>
      </c>
      <c r="E56" s="55"/>
      <c r="F56" s="3"/>
      <c r="G56" s="4"/>
    </row>
    <row r="57" spans="2:7" ht="45" customHeight="1">
      <c r="B57" s="80">
        <v>7.9</v>
      </c>
      <c r="C57" s="3"/>
      <c r="D57" s="2" t="s">
        <v>93</v>
      </c>
      <c r="E57" s="55"/>
      <c r="F57" s="3" t="str">
        <f>VLOOKUP($D$7,'Source Data'!$A$2:$EU$28,57,FALSE)</f>
        <v>xxxxxxxxxxx</v>
      </c>
      <c r="G57" s="4"/>
    </row>
    <row r="58" spans="2:7" ht="45" customHeight="1">
      <c r="B58" s="82" t="s">
        <v>252</v>
      </c>
      <c r="C58" s="3"/>
      <c r="D58" s="2" t="s">
        <v>94</v>
      </c>
      <c r="E58" s="55"/>
      <c r="F58" s="3" t="str">
        <f>VLOOKUP($D$7,'Source Data'!$A$2:$EU$28,58,FALSE)</f>
        <v>xxxxxxxxxxx</v>
      </c>
      <c r="G58" s="4"/>
    </row>
    <row r="59" spans="2:7" ht="45" customHeight="1">
      <c r="B59" s="82" t="s">
        <v>253</v>
      </c>
      <c r="C59" s="3"/>
      <c r="D59" s="2" t="s">
        <v>95</v>
      </c>
      <c r="E59" s="55"/>
      <c r="F59" s="3" t="str">
        <f>VLOOKUP($D$7,'Source Data'!$A$2:$EU$28,59,FALSE)</f>
        <v>xxxxxxxxxxx</v>
      </c>
      <c r="G59" s="4"/>
    </row>
    <row r="60" spans="2:7" ht="45" customHeight="1">
      <c r="B60" s="82" t="s">
        <v>254</v>
      </c>
      <c r="C60" s="3"/>
      <c r="D60" s="2" t="s">
        <v>96</v>
      </c>
      <c r="E60" s="55"/>
      <c r="F60" s="3" t="str">
        <f>VLOOKUP($D$7,'Source Data'!$A$2:$EU$28,60,FALSE)</f>
        <v>≥ 31</v>
      </c>
      <c r="G60" s="4"/>
    </row>
    <row r="61" spans="2:7" ht="45" customHeight="1">
      <c r="B61" s="82" t="s">
        <v>255</v>
      </c>
      <c r="C61" s="3"/>
      <c r="D61" s="2" t="s">
        <v>97</v>
      </c>
      <c r="E61" s="55"/>
      <c r="F61" s="3" t="str">
        <f>VLOOKUP($D$7,'Source Data'!$A$2:$EU$28,61,FALSE)</f>
        <v>Base</v>
      </c>
      <c r="G61" s="4"/>
    </row>
    <row r="62" spans="2:7" ht="45" customHeight="1">
      <c r="B62" s="82" t="s">
        <v>256</v>
      </c>
      <c r="C62" s="3"/>
      <c r="D62" s="2" t="s">
        <v>98</v>
      </c>
      <c r="E62" s="55"/>
      <c r="F62" s="3" t="str">
        <f>VLOOKUP($D$7,'Source Data'!$A$2:$EU$28,62,FALSE)</f>
        <v>Draw lead</v>
      </c>
      <c r="G62" s="4"/>
    </row>
    <row r="63" spans="2:7" ht="45" customHeight="1">
      <c r="B63" s="82" t="s">
        <v>257</v>
      </c>
      <c r="C63" s="3"/>
      <c r="D63" s="2" t="s">
        <v>99</v>
      </c>
      <c r="E63" s="55"/>
      <c r="F63" s="3" t="str">
        <f>VLOOKUP($D$7,'Source Data'!$A$2:$EU$28,63,FALSE)</f>
        <v>M12</v>
      </c>
      <c r="G63" s="4"/>
    </row>
    <row r="64" spans="2:7" ht="15.6">
      <c r="B64" s="81">
        <v>8</v>
      </c>
      <c r="C64" s="3" t="s">
        <v>250</v>
      </c>
      <c r="D64" s="56" t="s">
        <v>102</v>
      </c>
      <c r="E64" s="55"/>
      <c r="F64" s="3"/>
      <c r="G64" s="4"/>
    </row>
    <row r="65" spans="2:7" ht="45" customHeight="1">
      <c r="B65" s="80">
        <v>8.1</v>
      </c>
      <c r="C65" s="3"/>
      <c r="D65" s="54" t="s">
        <v>93</v>
      </c>
      <c r="E65" s="55"/>
      <c r="F65" s="3" t="str">
        <f>VLOOKUP($D$7,'Source Data'!$A$2:$EU$28,65,FALSE)</f>
        <v>xxxxxxxxxxx</v>
      </c>
      <c r="G65" s="4"/>
    </row>
    <row r="66" spans="2:7" ht="45" customHeight="1">
      <c r="B66" s="80">
        <v>8.1999999999999993</v>
      </c>
      <c r="C66" s="3"/>
      <c r="D66" s="54" t="s">
        <v>94</v>
      </c>
      <c r="E66" s="55"/>
      <c r="F66" s="3" t="str">
        <f>VLOOKUP($D$7,'Source Data'!$A$2:$EU$28,66,FALSE)</f>
        <v>xxxxxxxxxxx</v>
      </c>
      <c r="G66" s="4"/>
    </row>
    <row r="67" spans="2:7" ht="45" customHeight="1">
      <c r="B67" s="80">
        <v>8.3000000000000007</v>
      </c>
      <c r="C67" s="3"/>
      <c r="D67" s="54" t="s">
        <v>95</v>
      </c>
      <c r="E67" s="55"/>
      <c r="F67" s="3" t="str">
        <f>VLOOKUP($D$7,'Source Data'!$A$2:$EU$28,67,FALSE)</f>
        <v>xxxxxxxxxxx</v>
      </c>
      <c r="G67" s="4"/>
    </row>
    <row r="68" spans="2:7" ht="45" customHeight="1">
      <c r="B68" s="80">
        <v>8.4</v>
      </c>
      <c r="C68" s="3"/>
      <c r="D68" s="54" t="s">
        <v>99</v>
      </c>
      <c r="E68" s="55"/>
      <c r="F68" s="3" t="str">
        <f>VLOOKUP($D$7,'Source Data'!$A$2:$EU$28,68,FALSE)</f>
        <v>M12</v>
      </c>
      <c r="G68" s="4"/>
    </row>
    <row r="69" spans="2:7" ht="28.15" customHeight="1">
      <c r="B69" s="81">
        <v>9</v>
      </c>
      <c r="C69" s="3" t="s">
        <v>258</v>
      </c>
      <c r="D69" s="56" t="s">
        <v>105</v>
      </c>
      <c r="E69" s="55"/>
      <c r="F69" s="3"/>
      <c r="G69" s="4"/>
    </row>
    <row r="70" spans="2:7" ht="45" customHeight="1">
      <c r="B70" s="80">
        <v>9.1</v>
      </c>
      <c r="C70" s="3"/>
      <c r="D70" s="54" t="s">
        <v>106</v>
      </c>
      <c r="E70" s="55"/>
      <c r="F70" s="3" t="str">
        <f>VLOOKUP($D$7,'Source Data'!$A$2:$EU$28,72,FALSE)</f>
        <v>Distribution</v>
      </c>
      <c r="G70" s="4" t="s">
        <v>178</v>
      </c>
    </row>
    <row r="71" spans="2:7" ht="45" customHeight="1">
      <c r="B71" s="80">
        <v>9.1999999999999993</v>
      </c>
      <c r="C71" s="3"/>
      <c r="D71" s="54" t="s">
        <v>107</v>
      </c>
      <c r="E71" s="55" t="s">
        <v>259</v>
      </c>
      <c r="F71" s="3">
        <f>VLOOKUP($D$7,'Source Data'!$A$2:$EU$28,73,FALSE)</f>
        <v>80500</v>
      </c>
      <c r="G71" s="4" t="s">
        <v>178</v>
      </c>
    </row>
    <row r="72" spans="2:7" ht="45" customHeight="1">
      <c r="B72" s="80">
        <v>9.3000000000000007</v>
      </c>
      <c r="C72" s="3"/>
      <c r="D72" s="54" t="s">
        <v>108</v>
      </c>
      <c r="E72" s="55" t="s">
        <v>259</v>
      </c>
      <c r="F72" s="3">
        <f>VLOOKUP($D$7,'Source Data'!$A$2:$EU$28,74,FALSE)</f>
        <v>17500</v>
      </c>
      <c r="G72" s="4" t="s">
        <v>178</v>
      </c>
    </row>
    <row r="73" spans="2:7" ht="45" customHeight="1">
      <c r="B73" s="80">
        <v>9.4</v>
      </c>
      <c r="C73" s="3"/>
      <c r="D73" s="54" t="s">
        <v>260</v>
      </c>
      <c r="E73" s="55" t="s">
        <v>261</v>
      </c>
      <c r="F73" s="3">
        <f>VLOOKUP($D$7,'Source Data'!$A$2:$EU$28,75,FALSE)</f>
        <v>110</v>
      </c>
      <c r="G73" s="4"/>
    </row>
    <row r="74" spans="2:7" ht="45" customHeight="1">
      <c r="B74" s="80">
        <v>9.5</v>
      </c>
      <c r="C74" s="3"/>
      <c r="D74" s="54" t="s">
        <v>262</v>
      </c>
      <c r="E74" s="55" t="s">
        <v>261</v>
      </c>
      <c r="F74" s="3">
        <f>VLOOKUP($D$7,'Source Data'!$A$2:$EU$28,151,FALSE)</f>
        <v>40</v>
      </c>
      <c r="G74" s="4"/>
    </row>
    <row r="75" spans="2:7" ht="45" customHeight="1">
      <c r="B75" s="80">
        <v>9.6</v>
      </c>
      <c r="C75" s="3"/>
      <c r="D75" s="54" t="s">
        <v>263</v>
      </c>
      <c r="E75" s="55" t="s">
        <v>261</v>
      </c>
      <c r="F75" s="3">
        <f>VLOOKUP($D$7,'Source Data'!$A$2:$EU$28,76,FALSE)</f>
        <v>880</v>
      </c>
      <c r="G75" s="4"/>
    </row>
    <row r="76" spans="2:7" ht="27" customHeight="1">
      <c r="B76" s="81">
        <v>10</v>
      </c>
      <c r="C76" s="3" t="s">
        <v>258</v>
      </c>
      <c r="D76" s="57" t="s">
        <v>111</v>
      </c>
      <c r="E76" s="55"/>
      <c r="F76" s="3"/>
      <c r="G76" s="4"/>
    </row>
    <row r="77" spans="2:7" ht="45" customHeight="1">
      <c r="B77" s="80">
        <v>10.1</v>
      </c>
      <c r="C77" s="3"/>
      <c r="D77" s="58" t="s">
        <v>112</v>
      </c>
      <c r="E77" s="55" t="s">
        <v>264</v>
      </c>
      <c r="F77" s="59" t="str">
        <f>VLOOKUP($D$7,'Source Data'!$A$2:$EU$28,78,FALSE)</f>
        <v>3,0 to 4,5</v>
      </c>
      <c r="G77" s="4"/>
    </row>
    <row r="78" spans="2:7" ht="45" customHeight="1">
      <c r="B78" s="80">
        <v>10.199999999999999</v>
      </c>
      <c r="C78" s="3"/>
      <c r="D78" s="58" t="s">
        <v>113</v>
      </c>
      <c r="E78" s="55"/>
      <c r="F78" s="59" t="str">
        <f>VLOOKUP($D$7,'Source Data'!$A$2:$EU$28,79,FALSE)</f>
        <v>xxxxxxxxxx</v>
      </c>
      <c r="G78" s="4"/>
    </row>
    <row r="79" spans="2:7" ht="27" customHeight="1">
      <c r="B79" s="81">
        <v>11</v>
      </c>
      <c r="C79" s="3"/>
      <c r="D79" s="117" t="s">
        <v>299</v>
      </c>
      <c r="E79" s="55"/>
      <c r="F79" s="3"/>
      <c r="G79" s="4"/>
    </row>
    <row r="80" spans="2:7" ht="45" customHeight="1">
      <c r="B80" s="80">
        <v>11.1</v>
      </c>
      <c r="C80" s="3"/>
      <c r="D80" s="54" t="s">
        <v>115</v>
      </c>
      <c r="E80" s="55" t="s">
        <v>266</v>
      </c>
      <c r="F80" s="59" t="str">
        <f>VLOOKUP($D$7,'Source Data'!$A$2:$EU$28,81,FALSE)</f>
        <v xml:space="preserve">≤ 48 </v>
      </c>
      <c r="G80" s="4"/>
    </row>
    <row r="81" spans="2:7" ht="22.15" customHeight="1">
      <c r="B81" s="81">
        <v>12</v>
      </c>
      <c r="C81" s="3"/>
      <c r="D81" s="56" t="s">
        <v>267</v>
      </c>
      <c r="E81" s="55"/>
      <c r="F81" s="3"/>
      <c r="G81" s="4"/>
    </row>
    <row r="82" spans="2:7" ht="45" customHeight="1">
      <c r="B82" s="80">
        <v>12.1</v>
      </c>
      <c r="C82" s="3"/>
      <c r="D82" s="54" t="s">
        <v>117</v>
      </c>
      <c r="E82" s="55"/>
      <c r="F82" s="59" t="str">
        <f>VLOOKUP($D$7,'Source Data'!$A$2:$EU$28,83,FALSE)</f>
        <v>xxxxxxxxxxx</v>
      </c>
      <c r="G82" s="4"/>
    </row>
    <row r="83" spans="2:7" ht="45" customHeight="1">
      <c r="B83" s="80">
        <v>12.2</v>
      </c>
      <c r="C83" s="3"/>
      <c r="D83" s="54" t="s">
        <v>118</v>
      </c>
      <c r="E83" s="55"/>
      <c r="F83" s="59" t="str">
        <f>VLOOKUP($D$7,'Source Data'!$A$2:$EU$28,84,FALSE)</f>
        <v>xxxxxxxxxxx</v>
      </c>
      <c r="G83" s="4"/>
    </row>
    <row r="84" spans="2:7" ht="21.6" customHeight="1">
      <c r="B84" s="81">
        <v>13</v>
      </c>
      <c r="C84" s="3"/>
      <c r="D84" s="56" t="s">
        <v>119</v>
      </c>
      <c r="E84" s="55"/>
      <c r="F84" s="3"/>
      <c r="G84" s="4"/>
    </row>
    <row r="85" spans="2:7" ht="45" customHeight="1">
      <c r="B85" s="80">
        <v>13.1</v>
      </c>
      <c r="C85" s="3"/>
      <c r="D85" s="54" t="s">
        <v>117</v>
      </c>
      <c r="E85" s="55"/>
      <c r="F85" s="59" t="str">
        <f>VLOOKUP($D$7,'Source Data'!$A$2:$EU$28,86,FALSE)</f>
        <v>xxxxxxxxxxx</v>
      </c>
      <c r="G85" s="4"/>
    </row>
    <row r="86" spans="2:7" ht="45" customHeight="1">
      <c r="B86" s="80">
        <v>13.2</v>
      </c>
      <c r="C86" s="3"/>
      <c r="D86" s="54" t="s">
        <v>118</v>
      </c>
      <c r="E86" s="55"/>
      <c r="F86" s="59" t="str">
        <f>VLOOKUP($D$7,'Source Data'!$A$2:$EU$28,87,FALSE)</f>
        <v>xxxxxxxxxxx</v>
      </c>
      <c r="G86" s="4"/>
    </row>
    <row r="87" spans="2:7" ht="24.6" customHeight="1">
      <c r="B87" s="81">
        <v>14</v>
      </c>
      <c r="C87" s="3"/>
      <c r="D87" s="56" t="s">
        <v>120</v>
      </c>
      <c r="E87" s="55"/>
      <c r="F87" s="3"/>
      <c r="G87" s="4"/>
    </row>
    <row r="88" spans="2:7" ht="45" customHeight="1">
      <c r="B88" s="80">
        <v>14.1</v>
      </c>
      <c r="C88" s="3"/>
      <c r="D88" s="54" t="s">
        <v>121</v>
      </c>
      <c r="E88" s="55"/>
      <c r="F88" s="59" t="str">
        <f>VLOOKUP($D$7,'Source Data'!$A$2:$EU$28,89,FALSE)</f>
        <v>Steel or Amporphous</v>
      </c>
      <c r="G88" s="4"/>
    </row>
    <row r="89" spans="2:7" ht="45" customHeight="1">
      <c r="B89" s="80">
        <v>14.2</v>
      </c>
      <c r="C89" s="3"/>
      <c r="D89" s="54" t="s">
        <v>122</v>
      </c>
      <c r="E89" s="55"/>
      <c r="F89" s="59" t="str">
        <f>VLOOKUP($D$7,'Source Data'!$A$2:$EU$28,90,FALSE)</f>
        <v>xxxxxxxxxxx</v>
      </c>
      <c r="G89" s="4"/>
    </row>
    <row r="90" spans="2:7" ht="45" customHeight="1">
      <c r="B90" s="80">
        <v>14.3</v>
      </c>
      <c r="C90" s="3"/>
      <c r="D90" s="54" t="s">
        <v>123</v>
      </c>
      <c r="E90" s="55"/>
      <c r="F90" s="59" t="str">
        <f>VLOOKUP($D$7,'Source Data'!$A$2:$EU$28,91,FALSE)</f>
        <v>xxxxxxxxxxx</v>
      </c>
      <c r="G90" s="4"/>
    </row>
    <row r="91" spans="2:7" ht="45" customHeight="1">
      <c r="B91" s="80">
        <v>14.4</v>
      </c>
      <c r="C91" s="3"/>
      <c r="D91" s="54" t="s">
        <v>124</v>
      </c>
      <c r="E91" s="55"/>
      <c r="F91" s="59" t="str">
        <f>VLOOKUP($D$7,'Source Data'!$A$2:$EU$28,92,FALSE)</f>
        <v>xxxxxxxxxxx</v>
      </c>
      <c r="G91" s="4"/>
    </row>
    <row r="92" spans="2:7" ht="23.45" customHeight="1">
      <c r="B92" s="81">
        <v>15</v>
      </c>
      <c r="C92" s="3" t="s">
        <v>268</v>
      </c>
      <c r="D92" s="57" t="s">
        <v>125</v>
      </c>
      <c r="E92" s="55"/>
      <c r="F92" s="59"/>
      <c r="G92" s="4"/>
    </row>
    <row r="93" spans="2:7" ht="45" customHeight="1">
      <c r="B93" s="80">
        <v>15.1</v>
      </c>
      <c r="C93" s="3"/>
      <c r="D93" s="54" t="s">
        <v>126</v>
      </c>
      <c r="E93" s="55"/>
      <c r="F93" s="59" t="str">
        <f>VLOOKUP($D$7,'Source Data'!$A$2:$EU$28,94,FALSE)</f>
        <v>Sealed</v>
      </c>
      <c r="G93" s="4"/>
    </row>
    <row r="94" spans="2:7" ht="45" customHeight="1">
      <c r="B94" s="80">
        <v>15.2</v>
      </c>
      <c r="C94" s="3"/>
      <c r="D94" s="54" t="s">
        <v>127</v>
      </c>
      <c r="E94" s="55"/>
      <c r="F94" s="59" t="str">
        <f>VLOOKUP($D$7,'Source Data'!$A$2:$EU$28,95,FALSE)</f>
        <v>xxxxxxxxxx</v>
      </c>
      <c r="G94" s="4"/>
    </row>
    <row r="95" spans="2:7" ht="21.6" customHeight="1">
      <c r="B95" s="81">
        <v>16</v>
      </c>
      <c r="C95" s="3" t="s">
        <v>269</v>
      </c>
      <c r="D95" s="56" t="s">
        <v>128</v>
      </c>
      <c r="E95" s="55"/>
      <c r="F95" s="59"/>
      <c r="G95" s="4"/>
    </row>
    <row r="96" spans="2:7" ht="40.15" customHeight="1">
      <c r="B96" s="80">
        <v>16.100000000000001</v>
      </c>
      <c r="C96" s="3" t="s">
        <v>270</v>
      </c>
      <c r="D96" s="54" t="s">
        <v>129</v>
      </c>
      <c r="E96" s="55" t="s">
        <v>245</v>
      </c>
      <c r="F96" s="59" t="str">
        <f>VLOOKUP($D$7,'Source Data'!$A$2:$EU$28,97,FALSE)</f>
        <v xml:space="preserve">≤ 1 080 </v>
      </c>
      <c r="G96" s="4"/>
    </row>
    <row r="97" spans="2:7" ht="40.15" customHeight="1">
      <c r="B97" s="80">
        <v>16.2</v>
      </c>
      <c r="C97" s="3" t="s">
        <v>270</v>
      </c>
      <c r="D97" s="54" t="s">
        <v>130</v>
      </c>
      <c r="E97" s="55" t="s">
        <v>245</v>
      </c>
      <c r="F97" s="59" t="str">
        <f>VLOOKUP($D$7,'Source Data'!$A$2:$EU$28,98,FALSE)</f>
        <v xml:space="preserve">≤ 1 500 </v>
      </c>
      <c r="G97" s="4"/>
    </row>
    <row r="98" spans="2:7" ht="40.15" customHeight="1">
      <c r="B98" s="80">
        <v>16.3</v>
      </c>
      <c r="C98" s="3" t="s">
        <v>270</v>
      </c>
      <c r="D98" s="54" t="s">
        <v>131</v>
      </c>
      <c r="E98" s="55" t="s">
        <v>245</v>
      </c>
      <c r="F98" s="59" t="str">
        <f>VLOOKUP($D$7,'Source Data'!$A$2:$EU$28,99,FALSE)</f>
        <v xml:space="preserve">≤ 1 500 </v>
      </c>
      <c r="G98" s="4"/>
    </row>
    <row r="99" spans="2:7" ht="40.15" customHeight="1">
      <c r="B99" s="80">
        <v>16.399999999999999</v>
      </c>
      <c r="C99" s="3" t="s">
        <v>270</v>
      </c>
      <c r="D99" s="54" t="s">
        <v>132</v>
      </c>
      <c r="E99" s="55" t="s">
        <v>271</v>
      </c>
      <c r="F99" s="3" t="str">
        <f>VLOOKUP($D$7,'Source Data'!$A$2:$EU$28,100,FALSE)</f>
        <v xml:space="preserve">≤ 900 </v>
      </c>
      <c r="G99" s="4"/>
    </row>
    <row r="100" spans="2:7" ht="40.15" customHeight="1">
      <c r="B100" s="80">
        <v>16.5</v>
      </c>
      <c r="C100" s="3"/>
      <c r="D100" s="54" t="s">
        <v>133</v>
      </c>
      <c r="E100" s="55" t="s">
        <v>272</v>
      </c>
      <c r="F100" s="3" t="str">
        <f>VLOOKUP($D$7,'Source Data'!$A$2:$EU$28,101,FALSE)</f>
        <v>xxxxxxxxxxx</v>
      </c>
      <c r="G100" s="4"/>
    </row>
    <row r="101" spans="2:7" ht="40.15" customHeight="1">
      <c r="B101" s="80">
        <v>16.600000000000001</v>
      </c>
      <c r="C101" s="3"/>
      <c r="D101" s="54" t="s">
        <v>134</v>
      </c>
      <c r="E101" s="55" t="s">
        <v>245</v>
      </c>
      <c r="F101" s="3">
        <f>VLOOKUP($D$7,'Source Data'!$A$2:$EU$28,102,FALSE)</f>
        <v>190</v>
      </c>
      <c r="G101" s="4"/>
    </row>
    <row r="102" spans="2:7" ht="45" customHeight="1">
      <c r="B102" s="80">
        <v>16.7</v>
      </c>
      <c r="C102" s="3" t="s">
        <v>273</v>
      </c>
      <c r="D102" s="54" t="s">
        <v>135</v>
      </c>
      <c r="E102" s="55" t="s">
        <v>245</v>
      </c>
      <c r="F102" s="3">
        <f>VLOOKUP($D$7,'Source Data'!$A$2:$EU$28,103,FALSE)</f>
        <v>100</v>
      </c>
      <c r="G102" s="4"/>
    </row>
    <row r="103" spans="2:7" ht="25.9" customHeight="1">
      <c r="B103" s="81">
        <v>17</v>
      </c>
      <c r="C103" s="3" t="s">
        <v>273</v>
      </c>
      <c r="D103" s="56" t="s">
        <v>136</v>
      </c>
      <c r="E103" s="55"/>
      <c r="F103" s="3"/>
      <c r="G103" s="4"/>
    </row>
    <row r="104" spans="2:7" ht="45" customHeight="1">
      <c r="B104" s="80">
        <v>17.100000000000001</v>
      </c>
      <c r="C104" s="3"/>
      <c r="D104" s="54" t="s">
        <v>137</v>
      </c>
      <c r="E104" s="55"/>
      <c r="F104" s="3" t="str">
        <f>VLOOKUP($D$7,'Source Data'!$A$2:$EU$28,105,FALSE)</f>
        <v>No</v>
      </c>
      <c r="G104" s="4" t="s">
        <v>178</v>
      </c>
    </row>
    <row r="105" spans="2:7" ht="45" customHeight="1">
      <c r="B105" s="80" t="s">
        <v>274</v>
      </c>
      <c r="C105" s="83"/>
      <c r="D105" s="54" t="s">
        <v>138</v>
      </c>
      <c r="E105" s="55"/>
      <c r="F105" s="3" t="str">
        <f>VLOOKUP($D$7,'Source Data'!$A$2:$EU$28,106,FALSE)</f>
        <v>N/A</v>
      </c>
      <c r="G105" s="4" t="s">
        <v>178</v>
      </c>
    </row>
    <row r="106" spans="2:7" ht="45" customHeight="1">
      <c r="B106" s="80" t="s">
        <v>275</v>
      </c>
      <c r="C106" s="83"/>
      <c r="D106" s="58" t="s">
        <v>139</v>
      </c>
      <c r="E106" s="55"/>
      <c r="F106" s="3" t="str">
        <f>VLOOKUP($D$7,'Source Data'!$A$2:$EU$28,107,FALSE)</f>
        <v>N/A</v>
      </c>
      <c r="G106" s="4" t="s">
        <v>178</v>
      </c>
    </row>
    <row r="107" spans="2:7" ht="45" customHeight="1">
      <c r="B107" s="80" t="s">
        <v>276</v>
      </c>
      <c r="C107" s="83"/>
      <c r="D107" s="58" t="s">
        <v>140</v>
      </c>
      <c r="E107" s="55"/>
      <c r="F107" s="3" t="str">
        <f>VLOOKUP($D$7,'Source Data'!$A$2:$EU$28,108,FALSE)</f>
        <v>N/A</v>
      </c>
      <c r="G107" s="4" t="s">
        <v>178</v>
      </c>
    </row>
    <row r="108" spans="2:7" ht="45" customHeight="1">
      <c r="B108" s="80" t="s">
        <v>277</v>
      </c>
      <c r="C108" s="83"/>
      <c r="D108" s="58" t="s">
        <v>141</v>
      </c>
      <c r="E108" s="55"/>
      <c r="F108" s="3" t="str">
        <f>VLOOKUP($D$7,'Source Data'!$A$2:$EU$28,109,FALSE)</f>
        <v>N/A</v>
      </c>
      <c r="G108" s="4"/>
    </row>
    <row r="109" spans="2:7" ht="45" customHeight="1">
      <c r="B109" s="80">
        <v>17.2</v>
      </c>
      <c r="C109" s="3"/>
      <c r="D109" s="54" t="s">
        <v>142</v>
      </c>
      <c r="E109" s="55" t="s">
        <v>245</v>
      </c>
      <c r="F109" s="3" t="str">
        <f>VLOOKUP($D$7,'Source Data'!$A$2:$EU$28,110,FALSE)</f>
        <v>N/A</v>
      </c>
      <c r="G109" s="4" t="s">
        <v>178</v>
      </c>
    </row>
    <row r="110" spans="2:7" ht="45" customHeight="1">
      <c r="B110" s="80">
        <v>17.3</v>
      </c>
      <c r="C110" s="3"/>
      <c r="D110" s="54" t="s">
        <v>143</v>
      </c>
      <c r="E110" s="55" t="s">
        <v>245</v>
      </c>
      <c r="F110" s="3" t="str">
        <f>VLOOKUP($D$7,'Source Data'!$A$2:$EU$28,111,FALSE)</f>
        <v>N/A</v>
      </c>
      <c r="G110" s="4" t="s">
        <v>178</v>
      </c>
    </row>
    <row r="111" spans="2:7" ht="45" customHeight="1">
      <c r="B111" s="80">
        <v>17.399999999999999</v>
      </c>
      <c r="C111" s="3"/>
      <c r="D111" s="54" t="s">
        <v>144</v>
      </c>
      <c r="E111" s="55" t="s">
        <v>245</v>
      </c>
      <c r="F111" s="3" t="str">
        <f>VLOOKUP($D$7,'Source Data'!$A$2:$EU$28,112,FALSE)</f>
        <v>N/A</v>
      </c>
      <c r="G111" s="4" t="s">
        <v>178</v>
      </c>
    </row>
    <row r="112" spans="2:7" ht="45" customHeight="1">
      <c r="B112" s="80">
        <v>17.5</v>
      </c>
      <c r="C112" s="3"/>
      <c r="D112" s="54" t="s">
        <v>145</v>
      </c>
      <c r="E112" s="55" t="s">
        <v>245</v>
      </c>
      <c r="F112" s="3" t="str">
        <f>VLOOKUP($D$7,'Source Data'!$A$2:$EU$28,113,FALSE)</f>
        <v>N/A</v>
      </c>
      <c r="G112" s="4" t="s">
        <v>178</v>
      </c>
    </row>
    <row r="113" spans="2:7" ht="45" customHeight="1">
      <c r="B113" s="80">
        <v>17.600000000000001</v>
      </c>
      <c r="C113" s="3"/>
      <c r="D113" s="54" t="s">
        <v>146</v>
      </c>
      <c r="E113" s="55" t="s">
        <v>245</v>
      </c>
      <c r="F113" s="3" t="str">
        <f>VLOOKUP($D$7,'Source Data'!$A$2:$EU$28,114,FALSE)</f>
        <v>N/A</v>
      </c>
      <c r="G113" s="4" t="s">
        <v>178</v>
      </c>
    </row>
    <row r="114" spans="2:7" ht="45" customHeight="1">
      <c r="B114" s="81">
        <v>18</v>
      </c>
      <c r="C114" s="3" t="s">
        <v>278</v>
      </c>
      <c r="D114" s="56" t="s">
        <v>147</v>
      </c>
      <c r="E114" s="55"/>
      <c r="F114" s="3"/>
      <c r="G114" s="4"/>
    </row>
    <row r="115" spans="2:7" ht="45" customHeight="1">
      <c r="B115" s="80">
        <v>18.100000000000001</v>
      </c>
      <c r="C115" s="3"/>
      <c r="D115" s="54" t="s">
        <v>148</v>
      </c>
      <c r="E115" s="55"/>
      <c r="F115" s="3" t="str">
        <f>VLOOKUP($D$7,'Source Data'!$A$2:$EU$28,116,FALSE)</f>
        <v>Yes</v>
      </c>
      <c r="G115" s="4" t="s">
        <v>178</v>
      </c>
    </row>
    <row r="116" spans="2:7" ht="45" customHeight="1">
      <c r="B116" s="80">
        <v>18.2</v>
      </c>
      <c r="C116" s="3" t="s">
        <v>279</v>
      </c>
      <c r="D116" s="54" t="s">
        <v>149</v>
      </c>
      <c r="E116" s="55" t="s">
        <v>245</v>
      </c>
      <c r="F116" s="3">
        <f>VLOOKUP($D$7,'Source Data'!$A$2:$EU$28,117,FALSE)</f>
        <v>400</v>
      </c>
      <c r="G116" s="4"/>
    </row>
    <row r="117" spans="2:7" ht="45" customHeight="1">
      <c r="B117" s="80">
        <v>18.3</v>
      </c>
      <c r="C117" s="3" t="s">
        <v>279</v>
      </c>
      <c r="D117" s="54" t="s">
        <v>150</v>
      </c>
      <c r="E117" s="55" t="s">
        <v>245</v>
      </c>
      <c r="F117" s="3" t="str">
        <f>VLOOKUP($D$7,'Source Data'!$A$2:$EU$28,118,FALSE)</f>
        <v>xxxxxxxxxxx</v>
      </c>
      <c r="G117" s="4"/>
    </row>
    <row r="118" spans="2:7" ht="45" customHeight="1">
      <c r="B118" s="80">
        <v>18.399999999999999</v>
      </c>
      <c r="C118" s="3" t="s">
        <v>279</v>
      </c>
      <c r="D118" s="54" t="s">
        <v>151</v>
      </c>
      <c r="E118" s="55" t="s">
        <v>245</v>
      </c>
      <c r="F118" s="3" t="str">
        <f>VLOOKUP($D$7,'Source Data'!$A$2:$EU$28,119,FALSE)</f>
        <v>≥ 320</v>
      </c>
      <c r="G118" s="4"/>
    </row>
    <row r="119" spans="2:7" ht="45" customHeight="1">
      <c r="B119" s="80">
        <v>18.5</v>
      </c>
      <c r="C119" s="3" t="s">
        <v>279</v>
      </c>
      <c r="D119" s="54" t="s">
        <v>152</v>
      </c>
      <c r="E119" s="55" t="s">
        <v>245</v>
      </c>
      <c r="F119" s="3" t="str">
        <f>VLOOKUP($D$7,'Source Data'!$A$2:$EU$28,110,FALSE)</f>
        <v>N/A</v>
      </c>
      <c r="G119" s="4"/>
    </row>
    <row r="120" spans="2:7" ht="45" customHeight="1">
      <c r="B120" s="80">
        <v>18.600000000000001</v>
      </c>
      <c r="C120" s="3" t="s">
        <v>279</v>
      </c>
      <c r="D120" s="54" t="s">
        <v>145</v>
      </c>
      <c r="E120" s="55" t="s">
        <v>245</v>
      </c>
      <c r="F120" s="3" t="str">
        <f>VLOOKUP($D$7,'Source Data'!$A$2:$EU$28,111,FALSE)</f>
        <v>N/A</v>
      </c>
      <c r="G120" s="4"/>
    </row>
    <row r="121" spans="2:7" ht="45" customHeight="1">
      <c r="B121" s="81">
        <v>19</v>
      </c>
      <c r="C121" s="3" t="s">
        <v>280</v>
      </c>
      <c r="D121" s="56" t="s">
        <v>153</v>
      </c>
      <c r="E121" s="55"/>
      <c r="F121" s="3"/>
      <c r="G121" s="4"/>
    </row>
    <row r="122" spans="2:7" ht="45" customHeight="1">
      <c r="B122" s="80">
        <v>19.100000000000001</v>
      </c>
      <c r="C122" s="3"/>
      <c r="D122" s="54" t="s">
        <v>154</v>
      </c>
      <c r="E122" s="55"/>
      <c r="F122" s="3" t="str">
        <f>VLOOKUP($D$7,'Source Data'!$A$2:$EU$28,123,FALSE)</f>
        <v>Yes</v>
      </c>
      <c r="G122" s="4"/>
    </row>
    <row r="123" spans="2:7" ht="45" customHeight="1">
      <c r="B123" s="80">
        <v>19.2</v>
      </c>
      <c r="C123" s="3"/>
      <c r="D123" s="54" t="s">
        <v>155</v>
      </c>
      <c r="E123" s="55" t="s">
        <v>245</v>
      </c>
      <c r="F123" s="3" t="str">
        <f>VLOOKUP($D$7,'Source Data'!$A$2:$EU$28,124,FALSE)</f>
        <v xml:space="preserve">≥ 30 </v>
      </c>
      <c r="G123" s="4"/>
    </row>
    <row r="124" spans="2:7" ht="45" customHeight="1">
      <c r="B124" s="81">
        <v>20</v>
      </c>
      <c r="C124" s="3" t="s">
        <v>281</v>
      </c>
      <c r="D124" s="56" t="s">
        <v>156</v>
      </c>
      <c r="E124" s="55"/>
      <c r="F124" s="3"/>
      <c r="G124" s="4"/>
    </row>
    <row r="125" spans="2:7" ht="45" customHeight="1">
      <c r="B125" s="80">
        <v>20.100000000000001</v>
      </c>
      <c r="C125" s="3"/>
      <c r="D125" s="54" t="s">
        <v>157</v>
      </c>
      <c r="E125" s="55"/>
      <c r="F125" s="3" t="str">
        <f>VLOOKUP($D$7,'Source Data'!$A$2:$EU$28,126,FALSE)</f>
        <v>316 Stainless Steel or Mild Steel</v>
      </c>
      <c r="G125" s="4"/>
    </row>
    <row r="126" spans="2:7" ht="45" customHeight="1">
      <c r="B126" s="80">
        <v>20.2</v>
      </c>
      <c r="C126" s="3"/>
      <c r="D126" s="54" t="s">
        <v>158</v>
      </c>
      <c r="E126" s="55" t="s">
        <v>245</v>
      </c>
      <c r="F126" s="3" t="str">
        <f>VLOOKUP($D$7,'Source Data'!$A$2:$EU$28,127,FALSE)</f>
        <v>≥ 30</v>
      </c>
      <c r="G126" s="4"/>
    </row>
    <row r="127" spans="2:7" ht="45" customHeight="1">
      <c r="B127" s="80">
        <v>20.3</v>
      </c>
      <c r="C127" s="3"/>
      <c r="D127" s="54" t="s">
        <v>159</v>
      </c>
      <c r="E127" s="55"/>
      <c r="F127" s="3" t="str">
        <f>VLOOKUP($D$7,'Source Data'!$A$2:$EU$28,128,FALSE)</f>
        <v>316 Stainless Steel or Mild Steel</v>
      </c>
      <c r="G127" s="4"/>
    </row>
    <row r="128" spans="2:7" ht="45" customHeight="1">
      <c r="B128" s="80">
        <v>20.399999999999999</v>
      </c>
      <c r="C128" s="3"/>
      <c r="D128" s="54" t="s">
        <v>160</v>
      </c>
      <c r="E128" s="55" t="s">
        <v>245</v>
      </c>
      <c r="F128" s="3" t="str">
        <f>VLOOKUP($D$7,'Source Data'!$A$2:$EU$28,129,FALSE)</f>
        <v xml:space="preserve">M12 x 25 </v>
      </c>
      <c r="G128" s="4"/>
    </row>
    <row r="129" spans="2:7" ht="45" customHeight="1">
      <c r="B129" s="80">
        <v>20.5</v>
      </c>
      <c r="C129" s="3"/>
      <c r="D129" s="54" t="s">
        <v>161</v>
      </c>
      <c r="E129" s="55"/>
      <c r="F129" s="3" t="str">
        <f>VLOOKUP($D$7,'Source Data'!$A$2:$EU$28,130,FALSE)</f>
        <v>Yes</v>
      </c>
      <c r="G129" s="4"/>
    </row>
    <row r="130" spans="2:7" ht="45" customHeight="1">
      <c r="B130" s="81">
        <v>21</v>
      </c>
      <c r="C130" s="3" t="s">
        <v>282</v>
      </c>
      <c r="D130" s="56" t="s">
        <v>162</v>
      </c>
      <c r="E130" s="55"/>
      <c r="F130" s="3"/>
      <c r="G130" s="4"/>
    </row>
    <row r="131" spans="2:7" ht="45" customHeight="1">
      <c r="B131" s="80">
        <v>21.1</v>
      </c>
      <c r="C131" s="3"/>
      <c r="D131" s="54" t="s">
        <v>163</v>
      </c>
      <c r="E131" s="55"/>
      <c r="F131" s="3" t="str">
        <f>VLOOKUP($D$7,'Source Data'!$A$2:$EU$28,132,FALSE)</f>
        <v>Yes</v>
      </c>
      <c r="G131" s="4"/>
    </row>
    <row r="132" spans="2:7" ht="45" customHeight="1">
      <c r="B132" s="80">
        <v>21.2</v>
      </c>
      <c r="C132" s="3" t="s">
        <v>283</v>
      </c>
      <c r="D132" s="54" t="s">
        <v>145</v>
      </c>
      <c r="E132" s="55" t="s">
        <v>245</v>
      </c>
      <c r="F132" s="3">
        <f>VLOOKUP($D$7,'Source Data'!$A$2:$EU$28,133,FALSE)</f>
        <v>14</v>
      </c>
      <c r="G132" s="4"/>
    </row>
    <row r="133" spans="2:7" ht="45" customHeight="1">
      <c r="B133" s="80">
        <v>21.3</v>
      </c>
      <c r="C133" s="3" t="s">
        <v>283</v>
      </c>
      <c r="D133" s="54" t="s">
        <v>164</v>
      </c>
      <c r="E133" s="55" t="s">
        <v>245</v>
      </c>
      <c r="F133" s="3" t="str">
        <f>VLOOKUP($D$7,'Source Data'!$A$2:$EU$28,134,FALSE)</f>
        <v>≥ 200</v>
      </c>
      <c r="G133" s="4"/>
    </row>
    <row r="134" spans="2:7" ht="45" customHeight="1">
      <c r="B134" s="80">
        <v>21.4</v>
      </c>
      <c r="C134" s="3" t="s">
        <v>283</v>
      </c>
      <c r="D134" s="54" t="s">
        <v>165</v>
      </c>
      <c r="E134" s="55" t="s">
        <v>245</v>
      </c>
      <c r="F134" s="3" t="str">
        <f>VLOOKUP($D$7,'Source Data'!$A$2:$EU$28,135,FALSE)</f>
        <v>≥ 190</v>
      </c>
      <c r="G134" s="4"/>
    </row>
    <row r="135" spans="2:7" ht="45" customHeight="1">
      <c r="B135" s="80">
        <v>21.5</v>
      </c>
      <c r="C135" s="3" t="s">
        <v>283</v>
      </c>
      <c r="D135" s="54" t="s">
        <v>166</v>
      </c>
      <c r="E135" s="55" t="s">
        <v>245</v>
      </c>
      <c r="F135" s="3" t="str">
        <f>VLOOKUP($D$7,'Source Data'!$A$2:$EU$28,136,FALSE)</f>
        <v>≥ 150</v>
      </c>
      <c r="G135" s="4"/>
    </row>
    <row r="136" spans="2:7" ht="45" customHeight="1">
      <c r="B136" s="81">
        <v>22</v>
      </c>
      <c r="C136" s="60">
        <v>3.4</v>
      </c>
      <c r="D136" s="61" t="s">
        <v>173</v>
      </c>
      <c r="E136" s="62"/>
      <c r="F136" s="60"/>
      <c r="G136" s="63"/>
    </row>
    <row r="137" spans="2:7" ht="45" customHeight="1">
      <c r="B137" s="80">
        <v>22.1</v>
      </c>
      <c r="C137" s="3"/>
      <c r="D137" s="64" t="s">
        <v>174</v>
      </c>
      <c r="E137" s="55"/>
      <c r="F137" s="3"/>
      <c r="G137" s="4"/>
    </row>
    <row r="138" spans="2:7" ht="45" customHeight="1">
      <c r="B138" s="80">
        <v>22.2</v>
      </c>
      <c r="C138" s="3"/>
      <c r="D138" s="64" t="s">
        <v>169</v>
      </c>
      <c r="E138" s="55"/>
      <c r="F138" s="3" t="str">
        <f>VLOOKUP($D$7,'Source Data'!$A$2:$EU$28,145,FALSE)</f>
        <v>xxxxxxxxxxx</v>
      </c>
      <c r="G138" s="4"/>
    </row>
    <row r="139" spans="2:7" ht="45" customHeight="1">
      <c r="B139" s="80">
        <v>22.3</v>
      </c>
      <c r="C139" s="3"/>
      <c r="D139" s="64" t="s">
        <v>170</v>
      </c>
      <c r="E139" s="55"/>
      <c r="F139" s="3" t="str">
        <f>VLOOKUP($D$7,'Source Data'!$A$2:$EU$28,146,FALSE)</f>
        <v>xxxxxxxxxxx</v>
      </c>
      <c r="G139" s="4"/>
    </row>
    <row r="140" spans="2:7" ht="45" customHeight="1">
      <c r="B140" s="80">
        <v>22.4</v>
      </c>
      <c r="C140" s="84"/>
      <c r="D140" s="64" t="s">
        <v>171</v>
      </c>
      <c r="E140" s="65"/>
      <c r="F140" s="3" t="str">
        <f>VLOOKUP($D$7,'Source Data'!$A$2:$EU$28,147,FALSE)</f>
        <v>xxxxxxxxxxx</v>
      </c>
      <c r="G140" s="66"/>
    </row>
    <row r="141" spans="2:7" ht="45" customHeight="1">
      <c r="B141" s="80">
        <v>22.5</v>
      </c>
      <c r="C141" s="84"/>
      <c r="D141" s="64" t="s">
        <v>172</v>
      </c>
      <c r="E141" s="65"/>
      <c r="F141" s="3" t="str">
        <f>VLOOKUP($D$7,'Source Data'!$A$2:$EU$28,148,FALSE)</f>
        <v>Azure Blue</v>
      </c>
      <c r="G141" s="66"/>
    </row>
    <row r="142" spans="2:7" ht="151.15">
      <c r="B142" s="85">
        <v>23</v>
      </c>
      <c r="C142" s="84">
        <v>4.2</v>
      </c>
      <c r="D142" s="61" t="s">
        <v>284</v>
      </c>
      <c r="E142" s="65"/>
      <c r="F142" s="3" t="str">
        <f>VLOOKUP($D$7,'Source Data'!$A$2:$EU$28,149,FALSE)</f>
        <v>Report Numbers</v>
      </c>
      <c r="G142" s="66"/>
    </row>
    <row r="143" spans="2:7" ht="241.9" thickBot="1">
      <c r="B143" s="86">
        <v>24</v>
      </c>
      <c r="C143" s="67">
        <v>4.3</v>
      </c>
      <c r="D143" s="68" t="s">
        <v>285</v>
      </c>
      <c r="E143" s="69"/>
      <c r="F143" s="67" t="str">
        <f>VLOOKUP($D$7,'Source Data'!$A$2:$EU$28,150,FALSE)</f>
        <v>Report Numbers</v>
      </c>
      <c r="G143" s="70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&amp;CSWER Isolation, 50kVA 11kV/ 19kV* (Coastal, Ester Oil Only)</oddHeader>
  </headerFooter>
  <rowBreaks count="4" manualBreakCount="4">
    <brk id="37" min="1" max="6" man="1"/>
    <brk id="68" min="1" max="6" man="1"/>
    <brk id="102" min="1" max="6" man="1"/>
    <brk id="123" min="1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28C5D-4CFC-433E-9376-F7A82AC5B6DD}">
  <sheetPr>
    <pageSetUpPr fitToPage="1"/>
  </sheetPr>
  <dimension ref="B1:G143"/>
  <sheetViews>
    <sheetView topLeftCell="A72" zoomScale="85" zoomScaleNormal="85" zoomScaleSheetLayoutView="70" workbookViewId="0">
      <selection activeCell="D80" sqref="D80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28" bestFit="1" customWidth="1"/>
    <col min="6" max="6" width="22.85546875" customWidth="1"/>
    <col min="7" max="7" width="30.85546875" customWidth="1"/>
  </cols>
  <sheetData>
    <row r="1" spans="2:7" ht="15" thickBot="1"/>
    <row r="2" spans="2:7">
      <c r="B2" s="29"/>
      <c r="C2" s="30"/>
      <c r="D2" s="30"/>
      <c r="E2" s="31"/>
      <c r="F2" s="30"/>
      <c r="G2" s="32"/>
    </row>
    <row r="3" spans="2:7">
      <c r="B3" s="33"/>
      <c r="C3" s="34"/>
      <c r="D3" s="34"/>
      <c r="E3" s="35"/>
      <c r="F3" s="91" t="s">
        <v>226</v>
      </c>
      <c r="G3" s="92"/>
    </row>
    <row r="4" spans="2:7">
      <c r="B4" s="33"/>
      <c r="C4" s="34"/>
      <c r="D4" s="34"/>
      <c r="E4" s="35"/>
      <c r="F4" s="91" t="str">
        <f>'List of Items &amp; Enquiry number'!B14</f>
        <v>Enquiry Number: 123456XYZ</v>
      </c>
      <c r="G4" s="92"/>
    </row>
    <row r="5" spans="2:7">
      <c r="B5" s="33"/>
      <c r="C5" s="34"/>
      <c r="D5" s="34"/>
      <c r="E5" s="35"/>
      <c r="F5" s="34"/>
      <c r="G5" s="36"/>
    </row>
    <row r="6" spans="2:7" ht="28.9">
      <c r="B6" s="37"/>
      <c r="C6" s="38"/>
      <c r="D6" s="39" t="s">
        <v>227</v>
      </c>
      <c r="E6" s="40"/>
      <c r="F6" s="41"/>
      <c r="G6" s="42"/>
    </row>
    <row r="7" spans="2:7">
      <c r="B7" s="33"/>
      <c r="C7" s="34"/>
      <c r="D7" s="43" t="s">
        <v>22</v>
      </c>
      <c r="E7" s="35"/>
      <c r="F7" s="34"/>
      <c r="G7" s="36"/>
    </row>
    <row r="8" spans="2:7">
      <c r="B8" s="33"/>
      <c r="C8" s="34"/>
      <c r="D8" s="76" t="s">
        <v>228</v>
      </c>
      <c r="E8" s="34"/>
      <c r="F8" s="93" t="s">
        <v>229</v>
      </c>
      <c r="G8" s="94"/>
    </row>
    <row r="9" spans="2:7">
      <c r="B9" s="44" t="s">
        <v>230</v>
      </c>
      <c r="C9" s="1"/>
      <c r="D9" s="1"/>
      <c r="E9" s="1"/>
      <c r="F9" s="93"/>
      <c r="G9" s="94"/>
    </row>
    <row r="10" spans="2:7" ht="15" thickBot="1">
      <c r="B10" s="97" t="s">
        <v>231</v>
      </c>
      <c r="C10" s="98"/>
      <c r="D10" s="98"/>
      <c r="E10" s="45"/>
      <c r="F10" s="95"/>
      <c r="G10" s="96"/>
    </row>
    <row r="11" spans="2:7" ht="28.15" customHeight="1" thickBot="1">
      <c r="B11" s="49" t="s">
        <v>232</v>
      </c>
      <c r="C11" s="78" t="s">
        <v>233</v>
      </c>
      <c r="D11" s="47" t="s">
        <v>15</v>
      </c>
      <c r="E11" s="48"/>
      <c r="F11" s="49" t="s">
        <v>234</v>
      </c>
      <c r="G11" s="46" t="s">
        <v>235</v>
      </c>
    </row>
    <row r="12" spans="2:7" ht="21" customHeight="1">
      <c r="B12" s="79">
        <v>1</v>
      </c>
      <c r="C12" s="50"/>
      <c r="D12" s="51" t="s">
        <v>54</v>
      </c>
      <c r="E12" s="52"/>
      <c r="F12" s="50"/>
      <c r="G12" s="53"/>
    </row>
    <row r="13" spans="2:7" ht="45" customHeight="1">
      <c r="B13" s="80">
        <v>1.1000000000000001</v>
      </c>
      <c r="C13" s="3"/>
      <c r="D13" s="54" t="s">
        <v>55</v>
      </c>
      <c r="E13" s="55"/>
      <c r="F13" s="3" t="str">
        <f>VLOOKUP($D$7,'Source Data'!$A$2:$EU$28,3,FALSE)</f>
        <v>xxxxxxxxxxx</v>
      </c>
      <c r="G13" s="4"/>
    </row>
    <row r="14" spans="2:7" ht="45" customHeight="1">
      <c r="B14" s="80">
        <v>1.2000000000000002</v>
      </c>
      <c r="C14" s="3"/>
      <c r="D14" s="54" t="s">
        <v>56</v>
      </c>
      <c r="E14" s="55"/>
      <c r="F14" s="3" t="str">
        <f>VLOOKUP($D$7,'Source Data'!$A$2:$EU$28,4,FALSE)</f>
        <v>xxxxxxxxxxx</v>
      </c>
      <c r="G14" s="4"/>
    </row>
    <row r="15" spans="2:7" ht="45" customHeight="1">
      <c r="B15" s="80">
        <v>1.3</v>
      </c>
      <c r="C15" s="3"/>
      <c r="D15" s="54" t="s">
        <v>58</v>
      </c>
      <c r="E15" s="55"/>
      <c r="F15" s="3" t="str">
        <f>VLOOKUP($D$7,'Source Data'!$A$2:$EU$28,6,FALSE)</f>
        <v>xxxxxxxxxxx</v>
      </c>
      <c r="G15" s="4"/>
    </row>
    <row r="16" spans="2:7" ht="45" customHeight="1">
      <c r="B16" s="80">
        <v>1.4</v>
      </c>
      <c r="C16" s="3"/>
      <c r="D16" s="54" t="s">
        <v>236</v>
      </c>
      <c r="E16" s="55"/>
      <c r="F16" s="3" t="str">
        <f>VLOOKUP($D$7,'Source Data'!$A$2:$EU$28,7,FALSE)</f>
        <v>xxxxxxxxxxx</v>
      </c>
      <c r="G16" s="4"/>
    </row>
    <row r="17" spans="2:7" ht="45" customHeight="1">
      <c r="B17" s="80">
        <v>1.5</v>
      </c>
      <c r="C17" s="3"/>
      <c r="D17" s="54" t="s">
        <v>237</v>
      </c>
      <c r="E17" s="55"/>
      <c r="F17" s="3" t="str">
        <f>VLOOKUP($D$7,'Source Data'!$A$2:$EU$28,8,FALSE)</f>
        <v>xxxxxxxxxxx</v>
      </c>
      <c r="G17" s="4"/>
    </row>
    <row r="18" spans="2:7" ht="45" customHeight="1">
      <c r="B18" s="80">
        <v>1.6</v>
      </c>
      <c r="C18" s="3"/>
      <c r="D18" s="54" t="s">
        <v>61</v>
      </c>
      <c r="E18" s="55"/>
      <c r="F18" s="3" t="str">
        <f>VLOOKUP($D$7,'Source Data'!$A$2:$EU$28,9,FALSE)</f>
        <v>Ester Oil</v>
      </c>
      <c r="G18" s="4"/>
    </row>
    <row r="19" spans="2:7" ht="24.6" customHeight="1">
      <c r="B19" s="81">
        <v>2</v>
      </c>
      <c r="C19" s="3" t="s">
        <v>238</v>
      </c>
      <c r="D19" s="56" t="s">
        <v>62</v>
      </c>
      <c r="E19" s="55"/>
      <c r="F19" s="3"/>
      <c r="G19" s="4"/>
    </row>
    <row r="20" spans="2:7" ht="45" customHeight="1">
      <c r="B20" s="80">
        <v>2.1</v>
      </c>
      <c r="C20" s="3"/>
      <c r="D20" s="54" t="s">
        <v>63</v>
      </c>
      <c r="E20" s="55" t="s">
        <v>239</v>
      </c>
      <c r="F20" s="3">
        <f>VLOOKUP($D$7,'Source Data'!$A$2:$EU$28,11,FALSE)</f>
        <v>50</v>
      </c>
      <c r="G20" s="4"/>
    </row>
    <row r="21" spans="2:7" ht="45" customHeight="1">
      <c r="B21" s="80">
        <v>2.2000000000000002</v>
      </c>
      <c r="C21" s="3"/>
      <c r="D21" s="54" t="s">
        <v>64</v>
      </c>
      <c r="E21" s="55" t="s">
        <v>240</v>
      </c>
      <c r="F21" s="3">
        <f>VLOOKUP($D$7,'Source Data'!$A$2:$EU$28,12,FALSE)</f>
        <v>22</v>
      </c>
      <c r="G21" s="4"/>
    </row>
    <row r="22" spans="2:7" ht="45" customHeight="1">
      <c r="B22" s="80">
        <v>2.3000000000000003</v>
      </c>
      <c r="C22" s="3"/>
      <c r="D22" s="54" t="s">
        <v>241</v>
      </c>
      <c r="E22" s="55" t="s">
        <v>240</v>
      </c>
      <c r="F22" s="3">
        <f>VLOOKUP($D$7,'Source Data'!$A$2:$EU$28,13,FALSE)</f>
        <v>19</v>
      </c>
      <c r="G22" s="4"/>
    </row>
    <row r="23" spans="2:7" ht="45" customHeight="1">
      <c r="B23" s="80">
        <v>2.4000000000000004</v>
      </c>
      <c r="C23" s="3"/>
      <c r="D23" s="54" t="s">
        <v>66</v>
      </c>
      <c r="E23" s="55" t="s">
        <v>242</v>
      </c>
      <c r="F23" s="3">
        <f>VLOOKUP($D$7,'Source Data'!$A$2:$EU$28,14,FALSE)</f>
        <v>50</v>
      </c>
      <c r="G23" s="4"/>
    </row>
    <row r="24" spans="2:7" ht="45" customHeight="1">
      <c r="B24" s="80">
        <v>2.5</v>
      </c>
      <c r="C24" s="3"/>
      <c r="D24" s="54" t="s">
        <v>67</v>
      </c>
      <c r="E24" s="55"/>
      <c r="F24" s="3" t="str">
        <f>VLOOKUP($D$7,'Source Data'!$A$2:$EU$28,15,FALSE)</f>
        <v>1ph</v>
      </c>
      <c r="G24" s="4"/>
    </row>
    <row r="25" spans="2:7" ht="45" customHeight="1">
      <c r="B25" s="80">
        <v>2.6</v>
      </c>
      <c r="C25" s="3"/>
      <c r="D25" s="54" t="s">
        <v>68</v>
      </c>
      <c r="E25" s="55"/>
      <c r="F25" s="3" t="str">
        <f>VLOOKUP($D$7,'Source Data'!$A$2:$EU$28,16,FALSE)</f>
        <v>N/A</v>
      </c>
      <c r="G25" s="4" t="s">
        <v>178</v>
      </c>
    </row>
    <row r="26" spans="2:7" ht="24.6" customHeight="1">
      <c r="B26" s="81">
        <v>3</v>
      </c>
      <c r="C26" s="3" t="s">
        <v>243</v>
      </c>
      <c r="D26" s="56" t="s">
        <v>69</v>
      </c>
      <c r="E26" s="55"/>
      <c r="F26" s="3"/>
      <c r="G26" s="4"/>
    </row>
    <row r="27" spans="2:7" ht="45" customHeight="1">
      <c r="B27" s="80">
        <v>3.1</v>
      </c>
      <c r="C27" s="3"/>
      <c r="D27" s="54" t="s">
        <v>70</v>
      </c>
      <c r="E27" s="55" t="s">
        <v>240</v>
      </c>
      <c r="F27" s="3">
        <f>VLOOKUP($D$7,'Source Data'!$A$2:$EU$28,18,FALSE)</f>
        <v>150</v>
      </c>
      <c r="G27" s="4"/>
    </row>
    <row r="28" spans="2:7" ht="45" customHeight="1">
      <c r="B28" s="80">
        <v>3.2</v>
      </c>
      <c r="C28" s="3"/>
      <c r="D28" s="54" t="s">
        <v>71</v>
      </c>
      <c r="E28" s="55" t="s">
        <v>240</v>
      </c>
      <c r="F28" s="3">
        <f>VLOOKUP($D$7,'Source Data'!$A$2:$EU$28,19,FALSE)</f>
        <v>200</v>
      </c>
      <c r="G28" s="4"/>
    </row>
    <row r="29" spans="2:7" ht="45" customHeight="1">
      <c r="B29" s="80">
        <v>3.3</v>
      </c>
      <c r="C29" s="3"/>
      <c r="D29" s="54" t="s">
        <v>72</v>
      </c>
      <c r="E29" s="55" t="s">
        <v>240</v>
      </c>
      <c r="F29" s="3">
        <f>VLOOKUP($D$7,'Source Data'!$A$2:$EU$28,20,FALSE)</f>
        <v>30</v>
      </c>
      <c r="G29" s="4"/>
    </row>
    <row r="30" spans="2:7" ht="45" customHeight="1">
      <c r="B30" s="80">
        <v>3.4</v>
      </c>
      <c r="C30" s="3"/>
      <c r="D30" s="54" t="s">
        <v>73</v>
      </c>
      <c r="E30" s="55" t="s">
        <v>240</v>
      </c>
      <c r="F30" s="3">
        <f>VLOOKUP($D$7,'Source Data'!$A$2:$EU$28,21,FALSE)</f>
        <v>50</v>
      </c>
      <c r="G30" s="4"/>
    </row>
    <row r="31" spans="2:7" ht="45" customHeight="1">
      <c r="B31" s="80">
        <v>3.5</v>
      </c>
      <c r="C31" s="3"/>
      <c r="D31" s="54" t="s">
        <v>74</v>
      </c>
      <c r="E31" s="55" t="s">
        <v>240</v>
      </c>
      <c r="F31" s="3">
        <f>VLOOKUP($D$7,'Source Data'!$A$2:$EU$28,22,FALSE)</f>
        <v>8</v>
      </c>
      <c r="G31" s="4"/>
    </row>
    <row r="32" spans="2:7" ht="33" customHeight="1">
      <c r="B32" s="81">
        <v>4</v>
      </c>
      <c r="C32" s="3" t="s">
        <v>244</v>
      </c>
      <c r="D32" s="56" t="s">
        <v>75</v>
      </c>
      <c r="E32" s="55"/>
      <c r="F32" s="3"/>
      <c r="G32" s="4"/>
    </row>
    <row r="33" spans="2:7" ht="45" customHeight="1">
      <c r="B33" s="80">
        <v>4.0999999999999996</v>
      </c>
      <c r="C33" s="3"/>
      <c r="D33" s="54" t="s">
        <v>76</v>
      </c>
      <c r="E33" s="55"/>
      <c r="F33" s="3" t="str">
        <f>VLOOKUP($D$7,'Source Data'!$A$2:$EU$28,24,FALSE)</f>
        <v>xxxxxxxxxxx</v>
      </c>
      <c r="G33" s="4"/>
    </row>
    <row r="34" spans="2:7" ht="45" customHeight="1">
      <c r="B34" s="80">
        <v>4.1999999999999993</v>
      </c>
      <c r="C34" s="3"/>
      <c r="D34" s="54" t="s">
        <v>77</v>
      </c>
      <c r="E34" s="55"/>
      <c r="F34" s="3" t="str">
        <f>VLOOKUP($D$7,'Source Data'!$A$2:$EU$28,25,FALSE)</f>
        <v>Grade 3</v>
      </c>
      <c r="G34" s="4"/>
    </row>
    <row r="35" spans="2:7" ht="45" customHeight="1">
      <c r="B35" s="80">
        <v>4.3</v>
      </c>
      <c r="C35" s="3"/>
      <c r="D35" s="54" t="s">
        <v>78</v>
      </c>
      <c r="E35" s="55" t="s">
        <v>245</v>
      </c>
      <c r="F35" s="3" t="str">
        <f>VLOOKUP($D$7,'Source Data'!$A$2:$EU$28,26,FALSE)</f>
        <v>&gt; 0.125</v>
      </c>
      <c r="G35" s="4"/>
    </row>
    <row r="36" spans="2:7" ht="45" customHeight="1">
      <c r="B36" s="80">
        <v>4.3999999999999995</v>
      </c>
      <c r="C36" s="3"/>
      <c r="D36" s="54" t="s">
        <v>79</v>
      </c>
      <c r="E36" s="55"/>
      <c r="F36" s="3" t="str">
        <f>VLOOKUP($D$7,'Source Data'!$A$2:$EU$28,27,FALSE)</f>
        <v>xxxxxxxxxxx</v>
      </c>
      <c r="G36" s="4"/>
    </row>
    <row r="37" spans="2:7" ht="45" customHeight="1">
      <c r="B37" s="80">
        <v>4.5</v>
      </c>
      <c r="C37" s="3"/>
      <c r="D37" s="54" t="s">
        <v>80</v>
      </c>
      <c r="E37" s="55"/>
      <c r="F37" s="3" t="str">
        <f>VLOOKUP($D$7,'Source Data'!$A$2:$EU$28,28,FALSE)</f>
        <v>xxxxxxxxxxx</v>
      </c>
      <c r="G37" s="4"/>
    </row>
    <row r="38" spans="2:7" ht="45" customHeight="1">
      <c r="B38" s="80">
        <v>4.5999999999999996</v>
      </c>
      <c r="C38" s="3"/>
      <c r="D38" s="54" t="s">
        <v>81</v>
      </c>
      <c r="E38" s="55" t="s">
        <v>240</v>
      </c>
      <c r="F38" s="3">
        <f>VLOOKUP($D$7,'Source Data'!$A$2:$EU$28,29,FALSE)</f>
        <v>21</v>
      </c>
      <c r="G38" s="4"/>
    </row>
    <row r="39" spans="2:7" ht="45" customHeight="1">
      <c r="B39" s="80">
        <v>4.7</v>
      </c>
      <c r="C39" s="3"/>
      <c r="D39" s="54" t="s">
        <v>82</v>
      </c>
      <c r="E39" s="55" t="s">
        <v>240</v>
      </c>
      <c r="F39" s="3">
        <f>VLOOKUP($D$7,'Source Data'!$A$2:$EU$28,30,FALSE)</f>
        <v>8</v>
      </c>
      <c r="G39" s="4"/>
    </row>
    <row r="40" spans="2:7" ht="45" customHeight="1">
      <c r="B40" s="80">
        <v>4.8</v>
      </c>
      <c r="C40" s="3"/>
      <c r="D40" s="54" t="s">
        <v>246</v>
      </c>
      <c r="E40" s="55" t="s">
        <v>247</v>
      </c>
      <c r="F40" s="3" t="str">
        <f>VLOOKUP($D$7,'Source Data'!$A$2:$EU$28,31,FALSE)</f>
        <v>&lt;5</v>
      </c>
      <c r="G40" s="4"/>
    </row>
    <row r="41" spans="2:7" ht="45" customHeight="1">
      <c r="B41" s="81">
        <v>5</v>
      </c>
      <c r="C41" s="3" t="s">
        <v>248</v>
      </c>
      <c r="D41" s="56" t="s">
        <v>84</v>
      </c>
      <c r="E41" s="55"/>
      <c r="F41" s="3"/>
      <c r="G41" s="4"/>
    </row>
    <row r="42" spans="2:7" ht="45" customHeight="1">
      <c r="B42" s="80">
        <v>5.0999999999999996</v>
      </c>
      <c r="C42" s="3"/>
      <c r="D42" s="54" t="s">
        <v>85</v>
      </c>
      <c r="E42" s="55" t="s">
        <v>247</v>
      </c>
      <c r="F42" s="3" t="str">
        <f>VLOOKUP($D$7,'Source Data'!$A$2:$EU$28,33,FALSE)</f>
        <v>&lt; 5</v>
      </c>
      <c r="G42" s="4"/>
    </row>
    <row r="43" spans="2:7" ht="45" customHeight="1">
      <c r="B43" s="80">
        <v>5.1999999999999993</v>
      </c>
      <c r="C43" s="3"/>
      <c r="D43" s="54" t="s">
        <v>86</v>
      </c>
      <c r="E43" s="55" t="s">
        <v>247</v>
      </c>
      <c r="F43" s="3" t="str">
        <f>VLOOKUP($D$7,'Source Data'!$A$2:$EU$28,34,FALSE)</f>
        <v xml:space="preserve">&lt; 5 </v>
      </c>
      <c r="G43" s="4"/>
    </row>
    <row r="44" spans="2:7" ht="45" customHeight="1">
      <c r="B44" s="80">
        <v>5.3</v>
      </c>
      <c r="C44" s="3"/>
      <c r="D44" s="54" t="s">
        <v>87</v>
      </c>
      <c r="E44" s="55"/>
      <c r="F44" s="3" t="str">
        <f>VLOOKUP($D$7,'Source Data'!$A$2:$EU$28,35,FALSE)</f>
        <v>xxxxxxxxxxx</v>
      </c>
      <c r="G44" s="4"/>
    </row>
    <row r="45" spans="2:7" ht="45" customHeight="1">
      <c r="B45" s="80">
        <v>5.3999999999999995</v>
      </c>
      <c r="C45" s="3"/>
      <c r="D45" s="54" t="s">
        <v>88</v>
      </c>
      <c r="E45" s="55"/>
      <c r="F45" s="3" t="str">
        <f>VLOOKUP($D$7,'Source Data'!$A$2:$EU$28,36,FALSE)</f>
        <v>xxxxxxxxxxx</v>
      </c>
      <c r="G45" s="4"/>
    </row>
    <row r="46" spans="2:7" ht="27" customHeight="1">
      <c r="B46" s="81">
        <v>6</v>
      </c>
      <c r="C46" s="3" t="s">
        <v>249</v>
      </c>
      <c r="D46" s="56" t="s">
        <v>89</v>
      </c>
      <c r="E46" s="55"/>
      <c r="F46" s="3"/>
      <c r="G46" s="4"/>
    </row>
    <row r="47" spans="2:7" ht="45" customHeight="1">
      <c r="B47" s="80">
        <v>6.1</v>
      </c>
      <c r="C47" s="3"/>
      <c r="D47" s="54" t="s">
        <v>90</v>
      </c>
      <c r="E47" s="55"/>
      <c r="F47" s="3" t="str">
        <f>VLOOKUP($D$7,'Source Data'!$A$2:$EU$28,38,FALSE)</f>
        <v>xxxxxxxxxxx</v>
      </c>
      <c r="G47" s="4" t="s">
        <v>178</v>
      </c>
    </row>
    <row r="48" spans="2:7" ht="31.15" customHeight="1">
      <c r="B48" s="81">
        <v>7</v>
      </c>
      <c r="C48" s="3" t="s">
        <v>250</v>
      </c>
      <c r="D48" s="56" t="s">
        <v>100</v>
      </c>
      <c r="E48" s="55"/>
      <c r="F48" s="3"/>
      <c r="G48" s="4"/>
    </row>
    <row r="49" spans="2:7" ht="45" customHeight="1">
      <c r="B49" s="80">
        <v>7.1</v>
      </c>
      <c r="C49" s="3"/>
      <c r="D49" s="54" t="s">
        <v>93</v>
      </c>
      <c r="E49" s="55"/>
      <c r="F49" s="3" t="str">
        <f>VLOOKUP($D$7,'Source Data'!$A$2:$EU$28,49,FALSE)</f>
        <v>xxxxxxxxxxx</v>
      </c>
      <c r="G49" s="4"/>
    </row>
    <row r="50" spans="2:7" ht="45" customHeight="1">
      <c r="B50" s="80">
        <v>7.2</v>
      </c>
      <c r="C50" s="3"/>
      <c r="D50" s="54" t="s">
        <v>94</v>
      </c>
      <c r="E50" s="55"/>
      <c r="F50" s="3" t="str">
        <f>VLOOKUP($D$7,'Source Data'!$A$2:$EU$28,50,FALSE)</f>
        <v>xxxxxxxxxxx</v>
      </c>
      <c r="G50" s="4"/>
    </row>
    <row r="51" spans="2:7" ht="45" customHeight="1">
      <c r="B51" s="80">
        <v>7.3</v>
      </c>
      <c r="C51" s="3"/>
      <c r="D51" s="54" t="s">
        <v>95</v>
      </c>
      <c r="E51" s="55"/>
      <c r="F51" s="3" t="str">
        <f>VLOOKUP($D$7,'Source Data'!$A$2:$EU$28,51,FALSE)</f>
        <v>xxxxxxxxxxx</v>
      </c>
      <c r="G51" s="4"/>
    </row>
    <row r="52" spans="2:7" ht="45" customHeight="1">
      <c r="B52" s="80">
        <v>7.4</v>
      </c>
      <c r="C52" s="3"/>
      <c r="D52" s="54" t="s">
        <v>96</v>
      </c>
      <c r="E52" s="55" t="s">
        <v>251</v>
      </c>
      <c r="F52" s="3" t="str">
        <f>VLOOKUP($D$7,'Source Data'!$A$2:$EU$28,52,FALSE)</f>
        <v>≥ 31</v>
      </c>
      <c r="G52" s="4"/>
    </row>
    <row r="53" spans="2:7" ht="45" customHeight="1">
      <c r="B53" s="80">
        <v>7.5</v>
      </c>
      <c r="C53" s="3"/>
      <c r="D53" s="54" t="s">
        <v>97</v>
      </c>
      <c r="E53" s="55"/>
      <c r="F53" s="3" t="str">
        <f>VLOOKUP($D$7,'Source Data'!$A$2:$EU$28,53,FALSE)</f>
        <v>Base</v>
      </c>
      <c r="G53" s="4"/>
    </row>
    <row r="54" spans="2:7" ht="45" customHeight="1">
      <c r="B54" s="80">
        <v>7.6</v>
      </c>
      <c r="C54" s="3"/>
      <c r="D54" s="54" t="s">
        <v>98</v>
      </c>
      <c r="E54" s="55"/>
      <c r="F54" s="3" t="str">
        <f>VLOOKUP($D$7,'Source Data'!$A$2:$EU$28,54,FALSE)</f>
        <v>Draw lead</v>
      </c>
      <c r="G54" s="4"/>
    </row>
    <row r="55" spans="2:7" ht="45" customHeight="1">
      <c r="B55" s="80">
        <v>7.7</v>
      </c>
      <c r="C55" s="3"/>
      <c r="D55" s="54" t="s">
        <v>99</v>
      </c>
      <c r="E55" s="55"/>
      <c r="F55" s="3" t="str">
        <f>VLOOKUP($D$7,'Source Data'!$A$2:$EU$28,55,FALSE)</f>
        <v>M12</v>
      </c>
      <c r="G55" s="4"/>
    </row>
    <row r="56" spans="2:7" ht="45" customHeight="1">
      <c r="B56" s="80">
        <v>7.8</v>
      </c>
      <c r="C56" s="3" t="s">
        <v>250</v>
      </c>
      <c r="D56" s="56" t="s">
        <v>101</v>
      </c>
      <c r="E56" s="55"/>
      <c r="F56" s="3"/>
      <c r="G56" s="4"/>
    </row>
    <row r="57" spans="2:7" ht="45" customHeight="1">
      <c r="B57" s="80">
        <v>7.9</v>
      </c>
      <c r="C57" s="3"/>
      <c r="D57" s="2" t="s">
        <v>93</v>
      </c>
      <c r="E57" s="55"/>
      <c r="F57" s="3" t="str">
        <f>VLOOKUP($D$7,'Source Data'!$A$2:$EU$28,57,FALSE)</f>
        <v>xxxxxxxxxxx</v>
      </c>
      <c r="G57" s="4"/>
    </row>
    <row r="58" spans="2:7" ht="45" customHeight="1">
      <c r="B58" s="82" t="s">
        <v>252</v>
      </c>
      <c r="C58" s="3"/>
      <c r="D58" s="2" t="s">
        <v>94</v>
      </c>
      <c r="E58" s="55"/>
      <c r="F58" s="3" t="str">
        <f>VLOOKUP($D$7,'Source Data'!$A$2:$EU$28,58,FALSE)</f>
        <v>xxxxxxxxxxx</v>
      </c>
      <c r="G58" s="4"/>
    </row>
    <row r="59" spans="2:7" ht="45" customHeight="1">
      <c r="B59" s="82" t="s">
        <v>253</v>
      </c>
      <c r="C59" s="3"/>
      <c r="D59" s="2" t="s">
        <v>95</v>
      </c>
      <c r="E59" s="55"/>
      <c r="F59" s="3" t="str">
        <f>VLOOKUP($D$7,'Source Data'!$A$2:$EU$28,59,FALSE)</f>
        <v>xxxxxxxxxxx</v>
      </c>
      <c r="G59" s="4"/>
    </row>
    <row r="60" spans="2:7" ht="45" customHeight="1">
      <c r="B60" s="82" t="s">
        <v>254</v>
      </c>
      <c r="C60" s="3"/>
      <c r="D60" s="2" t="s">
        <v>96</v>
      </c>
      <c r="E60" s="55"/>
      <c r="F60" s="3" t="str">
        <f>VLOOKUP($D$7,'Source Data'!$A$2:$EU$28,60,FALSE)</f>
        <v>≥ 31</v>
      </c>
      <c r="G60" s="4"/>
    </row>
    <row r="61" spans="2:7" ht="45" customHeight="1">
      <c r="B61" s="82" t="s">
        <v>255</v>
      </c>
      <c r="C61" s="3"/>
      <c r="D61" s="2" t="s">
        <v>97</v>
      </c>
      <c r="E61" s="55"/>
      <c r="F61" s="3" t="str">
        <f>VLOOKUP($D$7,'Source Data'!$A$2:$EU$28,61,FALSE)</f>
        <v>Base</v>
      </c>
      <c r="G61" s="4"/>
    </row>
    <row r="62" spans="2:7" ht="45" customHeight="1">
      <c r="B62" s="82" t="s">
        <v>256</v>
      </c>
      <c r="C62" s="3"/>
      <c r="D62" s="2" t="s">
        <v>98</v>
      </c>
      <c r="E62" s="55"/>
      <c r="F62" s="3" t="str">
        <f>VLOOKUP($D$7,'Source Data'!$A$2:$EU$28,62,FALSE)</f>
        <v>Draw lead</v>
      </c>
      <c r="G62" s="4"/>
    </row>
    <row r="63" spans="2:7" ht="45" customHeight="1">
      <c r="B63" s="82" t="s">
        <v>257</v>
      </c>
      <c r="C63" s="3"/>
      <c r="D63" s="2" t="s">
        <v>99</v>
      </c>
      <c r="E63" s="55"/>
      <c r="F63" s="3" t="str">
        <f>VLOOKUP($D$7,'Source Data'!$A$2:$EU$28,63,FALSE)</f>
        <v>M12</v>
      </c>
      <c r="G63" s="4"/>
    </row>
    <row r="64" spans="2:7" ht="15.6">
      <c r="B64" s="81">
        <v>8</v>
      </c>
      <c r="C64" s="3" t="s">
        <v>250</v>
      </c>
      <c r="D64" s="56" t="s">
        <v>102</v>
      </c>
      <c r="E64" s="55"/>
      <c r="F64" s="3"/>
      <c r="G64" s="4"/>
    </row>
    <row r="65" spans="2:7" ht="45" customHeight="1">
      <c r="B65" s="80">
        <v>8.1</v>
      </c>
      <c r="C65" s="3"/>
      <c r="D65" s="54" t="s">
        <v>93</v>
      </c>
      <c r="E65" s="55"/>
      <c r="F65" s="3" t="str">
        <f>VLOOKUP($D$7,'Source Data'!$A$2:$EU$28,65,FALSE)</f>
        <v>xxxxxxxxxxx</v>
      </c>
      <c r="G65" s="4"/>
    </row>
    <row r="66" spans="2:7" ht="45" customHeight="1">
      <c r="B66" s="80">
        <v>8.1999999999999993</v>
      </c>
      <c r="C66" s="3"/>
      <c r="D66" s="54" t="s">
        <v>94</v>
      </c>
      <c r="E66" s="55"/>
      <c r="F66" s="3" t="str">
        <f>VLOOKUP($D$7,'Source Data'!$A$2:$EU$28,66,FALSE)</f>
        <v>xxxxxxxxxxx</v>
      </c>
      <c r="G66" s="4"/>
    </row>
    <row r="67" spans="2:7" ht="45" customHeight="1">
      <c r="B67" s="80">
        <v>8.3000000000000007</v>
      </c>
      <c r="C67" s="3"/>
      <c r="D67" s="54" t="s">
        <v>95</v>
      </c>
      <c r="E67" s="55"/>
      <c r="F67" s="3" t="str">
        <f>VLOOKUP($D$7,'Source Data'!$A$2:$EU$28,67,FALSE)</f>
        <v>xxxxxxxxxxx</v>
      </c>
      <c r="G67" s="4"/>
    </row>
    <row r="68" spans="2:7" ht="45" customHeight="1">
      <c r="B68" s="80">
        <v>8.4</v>
      </c>
      <c r="C68" s="3"/>
      <c r="D68" s="54" t="s">
        <v>99</v>
      </c>
      <c r="E68" s="55"/>
      <c r="F68" s="3" t="str">
        <f>VLOOKUP($D$7,'Source Data'!$A$2:$EU$28,68,FALSE)</f>
        <v>M12</v>
      </c>
      <c r="G68" s="4"/>
    </row>
    <row r="69" spans="2:7" ht="28.15" customHeight="1">
      <c r="B69" s="81">
        <v>9</v>
      </c>
      <c r="C69" s="3" t="s">
        <v>258</v>
      </c>
      <c r="D69" s="56" t="s">
        <v>105</v>
      </c>
      <c r="E69" s="55"/>
      <c r="F69" s="3"/>
      <c r="G69" s="4"/>
    </row>
    <row r="70" spans="2:7" ht="45" customHeight="1">
      <c r="B70" s="80">
        <v>9.1</v>
      </c>
      <c r="C70" s="3"/>
      <c r="D70" s="54" t="s">
        <v>106</v>
      </c>
      <c r="E70" s="55"/>
      <c r="F70" s="3" t="str">
        <f>VLOOKUP($D$7,'Source Data'!$A$2:$EU$28,72,FALSE)</f>
        <v>Distribution</v>
      </c>
      <c r="G70" s="4" t="s">
        <v>178</v>
      </c>
    </row>
    <row r="71" spans="2:7" ht="45" customHeight="1">
      <c r="B71" s="80">
        <v>9.1999999999999993</v>
      </c>
      <c r="C71" s="3"/>
      <c r="D71" s="54" t="s">
        <v>107</v>
      </c>
      <c r="E71" s="55" t="s">
        <v>259</v>
      </c>
      <c r="F71" s="3">
        <f>VLOOKUP($D$7,'Source Data'!$A$2:$EU$28,73,FALSE)</f>
        <v>80500</v>
      </c>
      <c r="G71" s="4" t="s">
        <v>178</v>
      </c>
    </row>
    <row r="72" spans="2:7" ht="45" customHeight="1">
      <c r="B72" s="80">
        <v>9.3000000000000007</v>
      </c>
      <c r="C72" s="3"/>
      <c r="D72" s="54" t="s">
        <v>108</v>
      </c>
      <c r="E72" s="55" t="s">
        <v>259</v>
      </c>
      <c r="F72" s="3">
        <f>VLOOKUP($D$7,'Source Data'!$A$2:$EU$28,74,FALSE)</f>
        <v>17500</v>
      </c>
      <c r="G72" s="4" t="s">
        <v>178</v>
      </c>
    </row>
    <row r="73" spans="2:7" ht="45" customHeight="1">
      <c r="B73" s="80">
        <v>9.4</v>
      </c>
      <c r="C73" s="3"/>
      <c r="D73" s="54" t="s">
        <v>260</v>
      </c>
      <c r="E73" s="55" t="s">
        <v>261</v>
      </c>
      <c r="F73" s="3">
        <f>VLOOKUP($D$7,'Source Data'!$A$2:$EU$28,75,FALSE)</f>
        <v>110</v>
      </c>
      <c r="G73" s="4"/>
    </row>
    <row r="74" spans="2:7" ht="45" customHeight="1">
      <c r="B74" s="80">
        <v>9.5</v>
      </c>
      <c r="C74" s="3"/>
      <c r="D74" s="54" t="s">
        <v>262</v>
      </c>
      <c r="E74" s="55" t="s">
        <v>261</v>
      </c>
      <c r="F74" s="3">
        <f>VLOOKUP($D$7,'Source Data'!$A$2:$EU$28,151,FALSE)</f>
        <v>40</v>
      </c>
      <c r="G74" s="4"/>
    </row>
    <row r="75" spans="2:7" ht="45" customHeight="1">
      <c r="B75" s="80">
        <v>9.6</v>
      </c>
      <c r="C75" s="3"/>
      <c r="D75" s="54" t="s">
        <v>263</v>
      </c>
      <c r="E75" s="55" t="s">
        <v>261</v>
      </c>
      <c r="F75" s="3">
        <f>VLOOKUP($D$7,'Source Data'!$A$2:$EU$28,76,FALSE)</f>
        <v>880</v>
      </c>
      <c r="G75" s="4"/>
    </row>
    <row r="76" spans="2:7" ht="27" customHeight="1">
      <c r="B76" s="81">
        <v>10</v>
      </c>
      <c r="C76" s="3" t="s">
        <v>258</v>
      </c>
      <c r="D76" s="57" t="s">
        <v>111</v>
      </c>
      <c r="E76" s="55"/>
      <c r="F76" s="3"/>
      <c r="G76" s="4"/>
    </row>
    <row r="77" spans="2:7" ht="45" customHeight="1">
      <c r="B77" s="80">
        <v>10.1</v>
      </c>
      <c r="C77" s="3"/>
      <c r="D77" s="58" t="s">
        <v>112</v>
      </c>
      <c r="E77" s="55" t="s">
        <v>264</v>
      </c>
      <c r="F77" s="59" t="str">
        <f>VLOOKUP($D$7,'Source Data'!$A$2:$EU$28,78,FALSE)</f>
        <v>3,0 to 4,5</v>
      </c>
      <c r="G77" s="4"/>
    </row>
    <row r="78" spans="2:7" ht="45" customHeight="1">
      <c r="B78" s="80">
        <v>10.199999999999999</v>
      </c>
      <c r="C78" s="3"/>
      <c r="D78" s="58" t="s">
        <v>113</v>
      </c>
      <c r="E78" s="55"/>
      <c r="F78" s="59" t="str">
        <f>VLOOKUP($D$7,'Source Data'!$A$2:$EU$28,79,FALSE)</f>
        <v>xxxxxxxxxx</v>
      </c>
      <c r="G78" s="4"/>
    </row>
    <row r="79" spans="2:7" ht="27" customHeight="1">
      <c r="B79" s="81">
        <v>11</v>
      </c>
      <c r="C79" s="3"/>
      <c r="D79" s="117" t="s">
        <v>299</v>
      </c>
      <c r="E79" s="55"/>
      <c r="F79" s="3"/>
      <c r="G79" s="4"/>
    </row>
    <row r="80" spans="2:7" ht="45" customHeight="1">
      <c r="B80" s="80">
        <v>11.1</v>
      </c>
      <c r="C80" s="3"/>
      <c r="D80" s="54" t="s">
        <v>115</v>
      </c>
      <c r="E80" s="55" t="s">
        <v>266</v>
      </c>
      <c r="F80" s="59" t="str">
        <f>VLOOKUP($D$7,'Source Data'!$A$2:$EU$28,81,FALSE)</f>
        <v xml:space="preserve">≤ 48 </v>
      </c>
      <c r="G80" s="4"/>
    </row>
    <row r="81" spans="2:7" ht="22.15" customHeight="1">
      <c r="B81" s="81">
        <v>12</v>
      </c>
      <c r="C81" s="3"/>
      <c r="D81" s="56" t="s">
        <v>267</v>
      </c>
      <c r="E81" s="55"/>
      <c r="F81" s="3"/>
      <c r="G81" s="4"/>
    </row>
    <row r="82" spans="2:7" ht="45" customHeight="1">
      <c r="B82" s="80">
        <v>12.1</v>
      </c>
      <c r="C82" s="3"/>
      <c r="D82" s="54" t="s">
        <v>117</v>
      </c>
      <c r="E82" s="55"/>
      <c r="F82" s="59" t="str">
        <f>VLOOKUP($D$7,'Source Data'!$A$2:$EU$28,83,FALSE)</f>
        <v>xxxxxxxxxxx</v>
      </c>
      <c r="G82" s="4"/>
    </row>
    <row r="83" spans="2:7" ht="45" customHeight="1">
      <c r="B83" s="80">
        <v>12.2</v>
      </c>
      <c r="C83" s="3"/>
      <c r="D83" s="54" t="s">
        <v>118</v>
      </c>
      <c r="E83" s="55"/>
      <c r="F83" s="59" t="str">
        <f>VLOOKUP($D$7,'Source Data'!$A$2:$EU$28,84,FALSE)</f>
        <v>xxxxxxxxxxx</v>
      </c>
      <c r="G83" s="4"/>
    </row>
    <row r="84" spans="2:7" ht="21.6" customHeight="1">
      <c r="B84" s="81">
        <v>13</v>
      </c>
      <c r="C84" s="3"/>
      <c r="D84" s="56" t="s">
        <v>119</v>
      </c>
      <c r="E84" s="55"/>
      <c r="F84" s="3"/>
      <c r="G84" s="4"/>
    </row>
    <row r="85" spans="2:7" ht="45" customHeight="1">
      <c r="B85" s="80">
        <v>13.1</v>
      </c>
      <c r="C85" s="3"/>
      <c r="D85" s="54" t="s">
        <v>117</v>
      </c>
      <c r="E85" s="55"/>
      <c r="F85" s="59" t="str">
        <f>VLOOKUP($D$7,'Source Data'!$A$2:$EU$28,86,FALSE)</f>
        <v>xxxxxxxxxxx</v>
      </c>
      <c r="G85" s="4"/>
    </row>
    <row r="86" spans="2:7" ht="45" customHeight="1">
      <c r="B86" s="80">
        <v>13.2</v>
      </c>
      <c r="C86" s="3"/>
      <c r="D86" s="54" t="s">
        <v>118</v>
      </c>
      <c r="E86" s="55"/>
      <c r="F86" s="59" t="str">
        <f>VLOOKUP($D$7,'Source Data'!$A$2:$EU$28,87,FALSE)</f>
        <v>xxxxxxxxxxx</v>
      </c>
      <c r="G86" s="4"/>
    </row>
    <row r="87" spans="2:7" ht="24.6" customHeight="1">
      <c r="B87" s="81">
        <v>14</v>
      </c>
      <c r="C87" s="3"/>
      <c r="D87" s="56" t="s">
        <v>120</v>
      </c>
      <c r="E87" s="55"/>
      <c r="F87" s="3"/>
      <c r="G87" s="4"/>
    </row>
    <row r="88" spans="2:7" ht="45" customHeight="1">
      <c r="B88" s="80">
        <v>14.1</v>
      </c>
      <c r="C88" s="3"/>
      <c r="D88" s="54" t="s">
        <v>121</v>
      </c>
      <c r="E88" s="55"/>
      <c r="F88" s="59" t="str">
        <f>VLOOKUP($D$7,'Source Data'!$A$2:$EU$28,89,FALSE)</f>
        <v>Steel or Amporphous</v>
      </c>
      <c r="G88" s="4"/>
    </row>
    <row r="89" spans="2:7" ht="45" customHeight="1">
      <c r="B89" s="80">
        <v>14.2</v>
      </c>
      <c r="C89" s="3"/>
      <c r="D89" s="54" t="s">
        <v>122</v>
      </c>
      <c r="E89" s="55"/>
      <c r="F89" s="59" t="str">
        <f>VLOOKUP($D$7,'Source Data'!$A$2:$EU$28,90,FALSE)</f>
        <v>xxxxxxxxxxx</v>
      </c>
      <c r="G89" s="4"/>
    </row>
    <row r="90" spans="2:7" ht="45" customHeight="1">
      <c r="B90" s="80">
        <v>14.3</v>
      </c>
      <c r="C90" s="3"/>
      <c r="D90" s="54" t="s">
        <v>123</v>
      </c>
      <c r="E90" s="55"/>
      <c r="F90" s="59" t="str">
        <f>VLOOKUP($D$7,'Source Data'!$A$2:$EU$28,91,FALSE)</f>
        <v>xxxxxxxxxxx</v>
      </c>
      <c r="G90" s="4"/>
    </row>
    <row r="91" spans="2:7" ht="45" customHeight="1">
      <c r="B91" s="80">
        <v>14.4</v>
      </c>
      <c r="C91" s="3"/>
      <c r="D91" s="54" t="s">
        <v>124</v>
      </c>
      <c r="E91" s="55"/>
      <c r="F91" s="59" t="str">
        <f>VLOOKUP($D$7,'Source Data'!$A$2:$EU$28,92,FALSE)</f>
        <v>xxxxxxxxxxx</v>
      </c>
      <c r="G91" s="4"/>
    </row>
    <row r="92" spans="2:7" ht="23.45" customHeight="1">
      <c r="B92" s="81">
        <v>15</v>
      </c>
      <c r="C92" s="3" t="s">
        <v>268</v>
      </c>
      <c r="D92" s="57" t="s">
        <v>125</v>
      </c>
      <c r="E92" s="55"/>
      <c r="F92" s="59"/>
      <c r="G92" s="4"/>
    </row>
    <row r="93" spans="2:7" ht="45" customHeight="1">
      <c r="B93" s="80">
        <v>15.1</v>
      </c>
      <c r="C93" s="3"/>
      <c r="D93" s="54" t="s">
        <v>126</v>
      </c>
      <c r="E93" s="55"/>
      <c r="F93" s="59" t="str">
        <f>VLOOKUP($D$7,'Source Data'!$A$2:$EU$28,94,FALSE)</f>
        <v>Sealed</v>
      </c>
      <c r="G93" s="4"/>
    </row>
    <row r="94" spans="2:7" ht="45" customHeight="1">
      <c r="B94" s="80">
        <v>15.2</v>
      </c>
      <c r="C94" s="3"/>
      <c r="D94" s="54" t="s">
        <v>127</v>
      </c>
      <c r="E94" s="55"/>
      <c r="F94" s="59" t="str">
        <f>VLOOKUP($D$7,'Source Data'!$A$2:$EU$28,95,FALSE)</f>
        <v>xxxxxxxxxx</v>
      </c>
      <c r="G94" s="4"/>
    </row>
    <row r="95" spans="2:7" ht="21.6" customHeight="1">
      <c r="B95" s="81">
        <v>16</v>
      </c>
      <c r="C95" s="3" t="s">
        <v>269</v>
      </c>
      <c r="D95" s="56" t="s">
        <v>128</v>
      </c>
      <c r="E95" s="55"/>
      <c r="F95" s="59"/>
      <c r="G95" s="4"/>
    </row>
    <row r="96" spans="2:7" ht="40.15" customHeight="1">
      <c r="B96" s="80">
        <v>16.100000000000001</v>
      </c>
      <c r="C96" s="3" t="s">
        <v>270</v>
      </c>
      <c r="D96" s="54" t="s">
        <v>129</v>
      </c>
      <c r="E96" s="55" t="s">
        <v>245</v>
      </c>
      <c r="F96" s="59" t="str">
        <f>VLOOKUP($D$7,'Source Data'!$A$2:$EU$28,97,FALSE)</f>
        <v xml:space="preserve">≤ 1 080 </v>
      </c>
      <c r="G96" s="4"/>
    </row>
    <row r="97" spans="2:7" ht="40.15" customHeight="1">
      <c r="B97" s="80">
        <v>16.2</v>
      </c>
      <c r="C97" s="3" t="s">
        <v>270</v>
      </c>
      <c r="D97" s="54" t="s">
        <v>130</v>
      </c>
      <c r="E97" s="55" t="s">
        <v>245</v>
      </c>
      <c r="F97" s="59" t="str">
        <f>VLOOKUP($D$7,'Source Data'!$A$2:$EU$28,98,FALSE)</f>
        <v xml:space="preserve">≤ 1 500 </v>
      </c>
      <c r="G97" s="4"/>
    </row>
    <row r="98" spans="2:7" ht="40.15" customHeight="1">
      <c r="B98" s="80">
        <v>16.3</v>
      </c>
      <c r="C98" s="3" t="s">
        <v>270</v>
      </c>
      <c r="D98" s="54" t="s">
        <v>131</v>
      </c>
      <c r="E98" s="55" t="s">
        <v>245</v>
      </c>
      <c r="F98" s="59" t="str">
        <f>VLOOKUP($D$7,'Source Data'!$A$2:$EU$28,99,FALSE)</f>
        <v xml:space="preserve">≤ 1 500 </v>
      </c>
      <c r="G98" s="4"/>
    </row>
    <row r="99" spans="2:7" ht="40.15" customHeight="1">
      <c r="B99" s="80">
        <v>16.399999999999999</v>
      </c>
      <c r="C99" s="3" t="s">
        <v>270</v>
      </c>
      <c r="D99" s="54" t="s">
        <v>132</v>
      </c>
      <c r="E99" s="55" t="s">
        <v>271</v>
      </c>
      <c r="F99" s="3" t="str">
        <f>VLOOKUP($D$7,'Source Data'!$A$2:$EU$28,100,FALSE)</f>
        <v xml:space="preserve">≤ 900 </v>
      </c>
      <c r="G99" s="4"/>
    </row>
    <row r="100" spans="2:7" ht="40.15" customHeight="1">
      <c r="B100" s="80">
        <v>16.5</v>
      </c>
      <c r="C100" s="3"/>
      <c r="D100" s="54" t="s">
        <v>133</v>
      </c>
      <c r="E100" s="55" t="s">
        <v>272</v>
      </c>
      <c r="F100" s="3" t="str">
        <f>VLOOKUP($D$7,'Source Data'!$A$2:$EU$28,101,FALSE)</f>
        <v>xxxxxxxxxxx</v>
      </c>
      <c r="G100" s="4"/>
    </row>
    <row r="101" spans="2:7" ht="40.15" customHeight="1">
      <c r="B101" s="80">
        <v>16.600000000000001</v>
      </c>
      <c r="C101" s="3"/>
      <c r="D101" s="54" t="s">
        <v>134</v>
      </c>
      <c r="E101" s="55" t="s">
        <v>245</v>
      </c>
      <c r="F101" s="3">
        <f>VLOOKUP($D$7,'Source Data'!$A$2:$EU$28,102,FALSE)</f>
        <v>300</v>
      </c>
      <c r="G101" s="4"/>
    </row>
    <row r="102" spans="2:7" ht="45" customHeight="1">
      <c r="B102" s="80">
        <v>16.7</v>
      </c>
      <c r="C102" s="3" t="s">
        <v>273</v>
      </c>
      <c r="D102" s="54" t="s">
        <v>135</v>
      </c>
      <c r="E102" s="55" t="s">
        <v>245</v>
      </c>
      <c r="F102" s="3">
        <f>VLOOKUP($D$7,'Source Data'!$A$2:$EU$28,103,FALSE)</f>
        <v>100</v>
      </c>
      <c r="G102" s="4"/>
    </row>
    <row r="103" spans="2:7" ht="25.9" customHeight="1">
      <c r="B103" s="81">
        <v>17</v>
      </c>
      <c r="C103" s="3" t="s">
        <v>273</v>
      </c>
      <c r="D103" s="56" t="s">
        <v>136</v>
      </c>
      <c r="E103" s="55"/>
      <c r="F103" s="3"/>
      <c r="G103" s="4"/>
    </row>
    <row r="104" spans="2:7" ht="45" customHeight="1">
      <c r="B104" s="80">
        <v>17.100000000000001</v>
      </c>
      <c r="C104" s="3"/>
      <c r="D104" s="54" t="s">
        <v>137</v>
      </c>
      <c r="E104" s="55"/>
      <c r="F104" s="3" t="str">
        <f>VLOOKUP($D$7,'Source Data'!$A$2:$EU$28,105,FALSE)</f>
        <v>No</v>
      </c>
      <c r="G104" s="4" t="s">
        <v>178</v>
      </c>
    </row>
    <row r="105" spans="2:7" ht="45" customHeight="1">
      <c r="B105" s="80" t="s">
        <v>274</v>
      </c>
      <c r="C105" s="83"/>
      <c r="D105" s="54" t="s">
        <v>138</v>
      </c>
      <c r="E105" s="55"/>
      <c r="F105" s="3" t="str">
        <f>VLOOKUP($D$7,'Source Data'!$A$2:$EU$28,106,FALSE)</f>
        <v>N/A</v>
      </c>
      <c r="G105" s="4" t="s">
        <v>178</v>
      </c>
    </row>
    <row r="106" spans="2:7" ht="45" customHeight="1">
      <c r="B106" s="80" t="s">
        <v>275</v>
      </c>
      <c r="C106" s="83"/>
      <c r="D106" s="58" t="s">
        <v>139</v>
      </c>
      <c r="E106" s="55"/>
      <c r="F106" s="3" t="str">
        <f>VLOOKUP($D$7,'Source Data'!$A$2:$EU$28,107,FALSE)</f>
        <v>N/A</v>
      </c>
      <c r="G106" s="4" t="s">
        <v>178</v>
      </c>
    </row>
    <row r="107" spans="2:7" ht="45" customHeight="1">
      <c r="B107" s="80" t="s">
        <v>276</v>
      </c>
      <c r="C107" s="83"/>
      <c r="D107" s="58" t="s">
        <v>140</v>
      </c>
      <c r="E107" s="55"/>
      <c r="F107" s="3" t="str">
        <f>VLOOKUP($D$7,'Source Data'!$A$2:$EU$28,108,FALSE)</f>
        <v>N/A</v>
      </c>
      <c r="G107" s="4" t="s">
        <v>178</v>
      </c>
    </row>
    <row r="108" spans="2:7" ht="45" customHeight="1">
      <c r="B108" s="80" t="s">
        <v>277</v>
      </c>
      <c r="C108" s="83"/>
      <c r="D108" s="58" t="s">
        <v>141</v>
      </c>
      <c r="E108" s="55"/>
      <c r="F108" s="3" t="str">
        <f>VLOOKUP($D$7,'Source Data'!$A$2:$EU$28,109,FALSE)</f>
        <v>N/A</v>
      </c>
      <c r="G108" s="4"/>
    </row>
    <row r="109" spans="2:7" ht="45" customHeight="1">
      <c r="B109" s="80">
        <v>17.2</v>
      </c>
      <c r="C109" s="3"/>
      <c r="D109" s="54" t="s">
        <v>142</v>
      </c>
      <c r="E109" s="55" t="s">
        <v>245</v>
      </c>
      <c r="F109" s="3" t="str">
        <f>VLOOKUP($D$7,'Source Data'!$A$2:$EU$28,110,FALSE)</f>
        <v>N/A</v>
      </c>
      <c r="G109" s="4" t="s">
        <v>178</v>
      </c>
    </row>
    <row r="110" spans="2:7" ht="45" customHeight="1">
      <c r="B110" s="80">
        <v>17.3</v>
      </c>
      <c r="C110" s="3"/>
      <c r="D110" s="54" t="s">
        <v>143</v>
      </c>
      <c r="E110" s="55" t="s">
        <v>245</v>
      </c>
      <c r="F110" s="3" t="str">
        <f>VLOOKUP($D$7,'Source Data'!$A$2:$EU$28,111,FALSE)</f>
        <v>N/A</v>
      </c>
      <c r="G110" s="4" t="s">
        <v>178</v>
      </c>
    </row>
    <row r="111" spans="2:7" ht="45" customHeight="1">
      <c r="B111" s="80">
        <v>17.399999999999999</v>
      </c>
      <c r="C111" s="3"/>
      <c r="D111" s="54" t="s">
        <v>144</v>
      </c>
      <c r="E111" s="55" t="s">
        <v>245</v>
      </c>
      <c r="F111" s="3" t="str">
        <f>VLOOKUP($D$7,'Source Data'!$A$2:$EU$28,112,FALSE)</f>
        <v>N/A</v>
      </c>
      <c r="G111" s="4" t="s">
        <v>178</v>
      </c>
    </row>
    <row r="112" spans="2:7" ht="45" customHeight="1">
      <c r="B112" s="80">
        <v>17.5</v>
      </c>
      <c r="C112" s="3"/>
      <c r="D112" s="54" t="s">
        <v>145</v>
      </c>
      <c r="E112" s="55" t="s">
        <v>245</v>
      </c>
      <c r="F112" s="3" t="str">
        <f>VLOOKUP($D$7,'Source Data'!$A$2:$EU$28,113,FALSE)</f>
        <v>N/A</v>
      </c>
      <c r="G112" s="4" t="s">
        <v>178</v>
      </c>
    </row>
    <row r="113" spans="2:7" ht="45" customHeight="1">
      <c r="B113" s="80">
        <v>17.600000000000001</v>
      </c>
      <c r="C113" s="3"/>
      <c r="D113" s="54" t="s">
        <v>146</v>
      </c>
      <c r="E113" s="55" t="s">
        <v>245</v>
      </c>
      <c r="F113" s="3" t="str">
        <f>VLOOKUP($D$7,'Source Data'!$A$2:$EU$28,114,FALSE)</f>
        <v>N/A</v>
      </c>
      <c r="G113" s="4" t="s">
        <v>178</v>
      </c>
    </row>
    <row r="114" spans="2:7" ht="45" customHeight="1">
      <c r="B114" s="81">
        <v>18</v>
      </c>
      <c r="C114" s="3" t="s">
        <v>278</v>
      </c>
      <c r="D114" s="56" t="s">
        <v>147</v>
      </c>
      <c r="E114" s="55"/>
      <c r="F114" s="3"/>
      <c r="G114" s="4"/>
    </row>
    <row r="115" spans="2:7" ht="45" customHeight="1">
      <c r="B115" s="80">
        <v>18.100000000000001</v>
      </c>
      <c r="C115" s="3"/>
      <c r="D115" s="54" t="s">
        <v>148</v>
      </c>
      <c r="E115" s="55"/>
      <c r="F115" s="3" t="str">
        <f>VLOOKUP($D$7,'Source Data'!$A$2:$EU$28,116,FALSE)</f>
        <v>Yes</v>
      </c>
      <c r="G115" s="4" t="s">
        <v>178</v>
      </c>
    </row>
    <row r="116" spans="2:7" ht="45" customHeight="1">
      <c r="B116" s="80">
        <v>18.2</v>
      </c>
      <c r="C116" s="3" t="s">
        <v>279</v>
      </c>
      <c r="D116" s="54" t="s">
        <v>149</v>
      </c>
      <c r="E116" s="55" t="s">
        <v>245</v>
      </c>
      <c r="F116" s="3">
        <f>VLOOKUP($D$7,'Source Data'!$A$2:$EU$28,117,FALSE)</f>
        <v>400</v>
      </c>
      <c r="G116" s="4"/>
    </row>
    <row r="117" spans="2:7" ht="45" customHeight="1">
      <c r="B117" s="80">
        <v>18.3</v>
      </c>
      <c r="C117" s="3" t="s">
        <v>279</v>
      </c>
      <c r="D117" s="54" t="s">
        <v>150</v>
      </c>
      <c r="E117" s="55" t="s">
        <v>245</v>
      </c>
      <c r="F117" s="3" t="str">
        <f>VLOOKUP($D$7,'Source Data'!$A$2:$EU$28,118,FALSE)</f>
        <v>xxxxxxxxxxx</v>
      </c>
      <c r="G117" s="4"/>
    </row>
    <row r="118" spans="2:7" ht="45" customHeight="1">
      <c r="B118" s="80">
        <v>18.399999999999999</v>
      </c>
      <c r="C118" s="3" t="s">
        <v>279</v>
      </c>
      <c r="D118" s="54" t="s">
        <v>151</v>
      </c>
      <c r="E118" s="55" t="s">
        <v>245</v>
      </c>
      <c r="F118" s="3" t="str">
        <f>VLOOKUP($D$7,'Source Data'!$A$2:$EU$28,119,FALSE)</f>
        <v>≥ 320</v>
      </c>
      <c r="G118" s="4"/>
    </row>
    <row r="119" spans="2:7" ht="45" customHeight="1">
      <c r="B119" s="80">
        <v>18.5</v>
      </c>
      <c r="C119" s="3" t="s">
        <v>279</v>
      </c>
      <c r="D119" s="54" t="s">
        <v>152</v>
      </c>
      <c r="E119" s="55" t="s">
        <v>245</v>
      </c>
      <c r="F119" s="3" t="str">
        <f>VLOOKUP($D$7,'Source Data'!$A$2:$EU$28,110,FALSE)</f>
        <v>N/A</v>
      </c>
      <c r="G119" s="4"/>
    </row>
    <row r="120" spans="2:7" ht="45" customHeight="1">
      <c r="B120" s="80">
        <v>18.600000000000001</v>
      </c>
      <c r="C120" s="3" t="s">
        <v>279</v>
      </c>
      <c r="D120" s="54" t="s">
        <v>145</v>
      </c>
      <c r="E120" s="55" t="s">
        <v>245</v>
      </c>
      <c r="F120" s="3" t="str">
        <f>VLOOKUP($D$7,'Source Data'!$A$2:$EU$28,111,FALSE)</f>
        <v>N/A</v>
      </c>
      <c r="G120" s="4"/>
    </row>
    <row r="121" spans="2:7" ht="45" customHeight="1">
      <c r="B121" s="81">
        <v>19</v>
      </c>
      <c r="C121" s="3" t="s">
        <v>280</v>
      </c>
      <c r="D121" s="56" t="s">
        <v>153</v>
      </c>
      <c r="E121" s="55"/>
      <c r="F121" s="3"/>
      <c r="G121" s="4"/>
    </row>
    <row r="122" spans="2:7" ht="45" customHeight="1">
      <c r="B122" s="80">
        <v>19.100000000000001</v>
      </c>
      <c r="C122" s="3"/>
      <c r="D122" s="54" t="s">
        <v>154</v>
      </c>
      <c r="E122" s="55"/>
      <c r="F122" s="3" t="str">
        <f>VLOOKUP($D$7,'Source Data'!$A$2:$EU$28,123,FALSE)</f>
        <v>Yes</v>
      </c>
      <c r="G122" s="4"/>
    </row>
    <row r="123" spans="2:7" ht="45" customHeight="1">
      <c r="B123" s="80">
        <v>19.2</v>
      </c>
      <c r="C123" s="3"/>
      <c r="D123" s="54" t="s">
        <v>155</v>
      </c>
      <c r="E123" s="55" t="s">
        <v>245</v>
      </c>
      <c r="F123" s="3" t="str">
        <f>VLOOKUP($D$7,'Source Data'!$A$2:$EU$28,124,FALSE)</f>
        <v xml:space="preserve">≥ 30 </v>
      </c>
      <c r="G123" s="4"/>
    </row>
    <row r="124" spans="2:7" ht="45" customHeight="1">
      <c r="B124" s="81">
        <v>20</v>
      </c>
      <c r="C124" s="3" t="s">
        <v>281</v>
      </c>
      <c r="D124" s="56" t="s">
        <v>156</v>
      </c>
      <c r="E124" s="55"/>
      <c r="F124" s="3"/>
      <c r="G124" s="4"/>
    </row>
    <row r="125" spans="2:7" ht="45" customHeight="1">
      <c r="B125" s="80">
        <v>20.100000000000001</v>
      </c>
      <c r="C125" s="3"/>
      <c r="D125" s="54" t="s">
        <v>157</v>
      </c>
      <c r="E125" s="55"/>
      <c r="F125" s="3" t="str">
        <f>VLOOKUP($D$7,'Source Data'!$A$2:$EU$28,126,FALSE)</f>
        <v>316 Stainless Steel or Mild Steel</v>
      </c>
      <c r="G125" s="4"/>
    </row>
    <row r="126" spans="2:7" ht="45" customHeight="1">
      <c r="B126" s="80">
        <v>20.2</v>
      </c>
      <c r="C126" s="3"/>
      <c r="D126" s="54" t="s">
        <v>158</v>
      </c>
      <c r="E126" s="55" t="s">
        <v>245</v>
      </c>
      <c r="F126" s="3" t="str">
        <f>VLOOKUP($D$7,'Source Data'!$A$2:$EU$28,127,FALSE)</f>
        <v>≥ 30</v>
      </c>
      <c r="G126" s="4"/>
    </row>
    <row r="127" spans="2:7" ht="45" customHeight="1">
      <c r="B127" s="80">
        <v>20.3</v>
      </c>
      <c r="C127" s="3"/>
      <c r="D127" s="54" t="s">
        <v>159</v>
      </c>
      <c r="E127" s="55"/>
      <c r="F127" s="3" t="str">
        <f>VLOOKUP($D$7,'Source Data'!$A$2:$EU$28,128,FALSE)</f>
        <v>316 Stainless Steel or Mild Steel</v>
      </c>
      <c r="G127" s="4"/>
    </row>
    <row r="128" spans="2:7" ht="45" customHeight="1">
      <c r="B128" s="80">
        <v>20.399999999999999</v>
      </c>
      <c r="C128" s="3"/>
      <c r="D128" s="54" t="s">
        <v>160</v>
      </c>
      <c r="E128" s="55" t="s">
        <v>245</v>
      </c>
      <c r="F128" s="3" t="str">
        <f>VLOOKUP($D$7,'Source Data'!$A$2:$EU$28,129,FALSE)</f>
        <v xml:space="preserve">M12 x 25 </v>
      </c>
      <c r="G128" s="4"/>
    </row>
    <row r="129" spans="2:7" ht="45" customHeight="1">
      <c r="B129" s="80">
        <v>20.5</v>
      </c>
      <c r="C129" s="3"/>
      <c r="D129" s="54" t="s">
        <v>161</v>
      </c>
      <c r="E129" s="55"/>
      <c r="F129" s="3" t="str">
        <f>VLOOKUP($D$7,'Source Data'!$A$2:$EU$28,130,FALSE)</f>
        <v>Yes</v>
      </c>
      <c r="G129" s="4"/>
    </row>
    <row r="130" spans="2:7" ht="45" customHeight="1">
      <c r="B130" s="81">
        <v>21</v>
      </c>
      <c r="C130" s="3" t="s">
        <v>282</v>
      </c>
      <c r="D130" s="56" t="s">
        <v>162</v>
      </c>
      <c r="E130" s="55"/>
      <c r="F130" s="3"/>
      <c r="G130" s="4"/>
    </row>
    <row r="131" spans="2:7" ht="45" customHeight="1">
      <c r="B131" s="80">
        <v>21.1</v>
      </c>
      <c r="C131" s="3"/>
      <c r="D131" s="54" t="s">
        <v>163</v>
      </c>
      <c r="E131" s="55"/>
      <c r="F131" s="3" t="str">
        <f>VLOOKUP($D$7,'Source Data'!$A$2:$EU$28,132,FALSE)</f>
        <v>Yes</v>
      </c>
      <c r="G131" s="4"/>
    </row>
    <row r="132" spans="2:7" ht="45" customHeight="1">
      <c r="B132" s="80">
        <v>21.2</v>
      </c>
      <c r="C132" s="3" t="s">
        <v>283</v>
      </c>
      <c r="D132" s="54" t="s">
        <v>145</v>
      </c>
      <c r="E132" s="55" t="s">
        <v>245</v>
      </c>
      <c r="F132" s="3">
        <f>VLOOKUP($D$7,'Source Data'!$A$2:$EU$28,133,FALSE)</f>
        <v>14</v>
      </c>
      <c r="G132" s="4"/>
    </row>
    <row r="133" spans="2:7" ht="45" customHeight="1">
      <c r="B133" s="80">
        <v>21.3</v>
      </c>
      <c r="C133" s="3" t="s">
        <v>283</v>
      </c>
      <c r="D133" s="54" t="s">
        <v>164</v>
      </c>
      <c r="E133" s="55" t="s">
        <v>245</v>
      </c>
      <c r="F133" s="3" t="str">
        <f>VLOOKUP($D$7,'Source Data'!$A$2:$EU$28,134,FALSE)</f>
        <v>≥ 200</v>
      </c>
      <c r="G133" s="4"/>
    </row>
    <row r="134" spans="2:7" ht="45" customHeight="1">
      <c r="B134" s="80">
        <v>21.4</v>
      </c>
      <c r="C134" s="3" t="s">
        <v>283</v>
      </c>
      <c r="D134" s="54" t="s">
        <v>165</v>
      </c>
      <c r="E134" s="55" t="s">
        <v>245</v>
      </c>
      <c r="F134" s="3" t="str">
        <f>VLOOKUP($D$7,'Source Data'!$A$2:$EU$28,135,FALSE)</f>
        <v>≥ 300</v>
      </c>
      <c r="G134" s="4"/>
    </row>
    <row r="135" spans="2:7" ht="45" customHeight="1">
      <c r="B135" s="80">
        <v>21.5</v>
      </c>
      <c r="C135" s="3" t="s">
        <v>283</v>
      </c>
      <c r="D135" s="54" t="s">
        <v>166</v>
      </c>
      <c r="E135" s="55" t="s">
        <v>245</v>
      </c>
      <c r="F135" s="3" t="str">
        <f>VLOOKUP($D$7,'Source Data'!$A$2:$EU$28,136,FALSE)</f>
        <v>≥ 150</v>
      </c>
      <c r="G135" s="4"/>
    </row>
    <row r="136" spans="2:7" ht="45" customHeight="1">
      <c r="B136" s="81">
        <v>22</v>
      </c>
      <c r="C136" s="60">
        <v>3.4</v>
      </c>
      <c r="D136" s="61" t="s">
        <v>173</v>
      </c>
      <c r="E136" s="62"/>
      <c r="F136" s="60"/>
      <c r="G136" s="63"/>
    </row>
    <row r="137" spans="2:7" ht="45" customHeight="1">
      <c r="B137" s="80">
        <v>22.1</v>
      </c>
      <c r="C137" s="3"/>
      <c r="D137" s="64" t="s">
        <v>174</v>
      </c>
      <c r="E137" s="55"/>
      <c r="F137" s="3"/>
      <c r="G137" s="4"/>
    </row>
    <row r="138" spans="2:7" ht="45" customHeight="1">
      <c r="B138" s="80">
        <v>22.2</v>
      </c>
      <c r="C138" s="3"/>
      <c r="D138" s="64" t="s">
        <v>169</v>
      </c>
      <c r="E138" s="55"/>
      <c r="F138" s="3" t="str">
        <f>VLOOKUP($D$7,'Source Data'!$A$2:$EU$28,145,FALSE)</f>
        <v>xxxxxxxxxxx</v>
      </c>
      <c r="G138" s="4"/>
    </row>
    <row r="139" spans="2:7" ht="45" customHeight="1">
      <c r="B139" s="80">
        <v>22.3</v>
      </c>
      <c r="C139" s="3"/>
      <c r="D139" s="64" t="s">
        <v>170</v>
      </c>
      <c r="E139" s="55"/>
      <c r="F139" s="3" t="str">
        <f>VLOOKUP($D$7,'Source Data'!$A$2:$EU$28,146,FALSE)</f>
        <v>xxxxxxxxxxx</v>
      </c>
      <c r="G139" s="4"/>
    </row>
    <row r="140" spans="2:7" ht="45" customHeight="1">
      <c r="B140" s="80">
        <v>22.4</v>
      </c>
      <c r="C140" s="84"/>
      <c r="D140" s="64" t="s">
        <v>171</v>
      </c>
      <c r="E140" s="65"/>
      <c r="F140" s="3" t="str">
        <f>VLOOKUP($D$7,'Source Data'!$A$2:$EU$28,147,FALSE)</f>
        <v>xxxxxxxxxxx</v>
      </c>
      <c r="G140" s="66"/>
    </row>
    <row r="141" spans="2:7" ht="45" customHeight="1">
      <c r="B141" s="80">
        <v>22.5</v>
      </c>
      <c r="C141" s="84"/>
      <c r="D141" s="64" t="s">
        <v>172</v>
      </c>
      <c r="E141" s="65"/>
      <c r="F141" s="3" t="str">
        <f>VLOOKUP($D$7,'Source Data'!$A$2:$EU$28,148,FALSE)</f>
        <v>Azure Blue</v>
      </c>
      <c r="G141" s="66"/>
    </row>
    <row r="142" spans="2:7" ht="151.15">
      <c r="B142" s="85">
        <v>23</v>
      </c>
      <c r="C142" s="84">
        <v>4.2</v>
      </c>
      <c r="D142" s="61" t="s">
        <v>284</v>
      </c>
      <c r="E142" s="65"/>
      <c r="F142" s="3" t="str">
        <f>VLOOKUP($D$7,'Source Data'!$A$2:$EU$28,149,FALSE)</f>
        <v>Report Numbers</v>
      </c>
      <c r="G142" s="66"/>
    </row>
    <row r="143" spans="2:7" ht="241.9" thickBot="1">
      <c r="B143" s="86">
        <v>24</v>
      </c>
      <c r="C143" s="67">
        <v>4.3</v>
      </c>
      <c r="D143" s="68" t="s">
        <v>285</v>
      </c>
      <c r="E143" s="69"/>
      <c r="F143" s="67" t="str">
        <f>VLOOKUP($D$7,'Source Data'!$A$2:$EU$28,150,FALSE)</f>
        <v>Report Numbers</v>
      </c>
      <c r="G143" s="70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&amp;CSWER Isolation, 50kVA 22kV/ 19kV* (Coastal, Ester Oil Only)</oddHeader>
  </headerFooter>
  <rowBreaks count="4" manualBreakCount="4">
    <brk id="37" min="1" max="6" man="1"/>
    <brk id="68" min="1" max="6" man="1"/>
    <brk id="102" min="1" max="6" man="1"/>
    <brk id="123" min="1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22EB3-3DE3-4340-9F4D-7956CE7E27D7}">
  <sheetPr>
    <pageSetUpPr fitToPage="1"/>
  </sheetPr>
  <dimension ref="B1:G143"/>
  <sheetViews>
    <sheetView topLeftCell="A71" zoomScale="85" zoomScaleNormal="85" zoomScaleSheetLayoutView="70" workbookViewId="0">
      <selection activeCell="D79" sqref="D79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28" bestFit="1" customWidth="1"/>
    <col min="6" max="6" width="22.85546875" customWidth="1"/>
    <col min="7" max="7" width="30.85546875" customWidth="1"/>
  </cols>
  <sheetData>
    <row r="1" spans="2:7" ht="15" thickBot="1"/>
    <row r="2" spans="2:7">
      <c r="B2" s="29"/>
      <c r="C2" s="30"/>
      <c r="D2" s="30"/>
      <c r="E2" s="31"/>
      <c r="F2" s="30"/>
      <c r="G2" s="32"/>
    </row>
    <row r="3" spans="2:7">
      <c r="B3" s="33"/>
      <c r="C3" s="34"/>
      <c r="D3" s="34"/>
      <c r="E3" s="35"/>
      <c r="F3" s="91" t="s">
        <v>226</v>
      </c>
      <c r="G3" s="92"/>
    </row>
    <row r="4" spans="2:7">
      <c r="B4" s="33"/>
      <c r="C4" s="34"/>
      <c r="D4" s="34"/>
      <c r="E4" s="35"/>
      <c r="F4" s="91" t="str">
        <f>'List of Items &amp; Enquiry number'!B14</f>
        <v>Enquiry Number: 123456XYZ</v>
      </c>
      <c r="G4" s="92"/>
    </row>
    <row r="5" spans="2:7">
      <c r="B5" s="33"/>
      <c r="C5" s="34"/>
      <c r="D5" s="34"/>
      <c r="E5" s="35"/>
      <c r="F5" s="34"/>
      <c r="G5" s="36"/>
    </row>
    <row r="6" spans="2:7" ht="28.9">
      <c r="B6" s="37"/>
      <c r="C6" s="38"/>
      <c r="D6" s="39" t="s">
        <v>227</v>
      </c>
      <c r="E6" s="40"/>
      <c r="F6" s="41"/>
      <c r="G6" s="42"/>
    </row>
    <row r="7" spans="2:7">
      <c r="B7" s="33"/>
      <c r="C7" s="34"/>
      <c r="D7" s="43" t="s">
        <v>25</v>
      </c>
      <c r="E7" s="35"/>
      <c r="F7" s="34"/>
      <c r="G7" s="36"/>
    </row>
    <row r="8" spans="2:7">
      <c r="B8" s="33"/>
      <c r="C8" s="34"/>
      <c r="D8" s="76" t="s">
        <v>228</v>
      </c>
      <c r="E8" s="34"/>
      <c r="F8" s="93" t="s">
        <v>229</v>
      </c>
      <c r="G8" s="94"/>
    </row>
    <row r="9" spans="2:7">
      <c r="B9" s="44" t="s">
        <v>230</v>
      </c>
      <c r="C9" s="1"/>
      <c r="D9" s="1"/>
      <c r="E9" s="1"/>
      <c r="F9" s="93"/>
      <c r="G9" s="94"/>
    </row>
    <row r="10" spans="2:7" ht="15" thickBot="1">
      <c r="B10" s="97" t="s">
        <v>231</v>
      </c>
      <c r="C10" s="98"/>
      <c r="D10" s="98"/>
      <c r="E10" s="45"/>
      <c r="F10" s="95"/>
      <c r="G10" s="96"/>
    </row>
    <row r="11" spans="2:7" ht="28.15" customHeight="1" thickBot="1">
      <c r="B11" s="49" t="s">
        <v>232</v>
      </c>
      <c r="C11" s="78" t="s">
        <v>233</v>
      </c>
      <c r="D11" s="47" t="s">
        <v>15</v>
      </c>
      <c r="E11" s="48"/>
      <c r="F11" s="49" t="s">
        <v>234</v>
      </c>
      <c r="G11" s="46" t="s">
        <v>235</v>
      </c>
    </row>
    <row r="12" spans="2:7" ht="21" customHeight="1">
      <c r="B12" s="79">
        <v>1</v>
      </c>
      <c r="C12" s="50"/>
      <c r="D12" s="51" t="s">
        <v>54</v>
      </c>
      <c r="E12" s="52"/>
      <c r="F12" s="50"/>
      <c r="G12" s="53"/>
    </row>
    <row r="13" spans="2:7" ht="45" customHeight="1">
      <c r="B13" s="80">
        <v>1.1000000000000001</v>
      </c>
      <c r="C13" s="3"/>
      <c r="D13" s="54" t="s">
        <v>55</v>
      </c>
      <c r="E13" s="55"/>
      <c r="F13" s="3" t="str">
        <f>VLOOKUP($D$7,'Source Data'!$A$2:$EU$28,3,FALSE)</f>
        <v>xxxxxxxxxxx</v>
      </c>
      <c r="G13" s="4"/>
    </row>
    <row r="14" spans="2:7" ht="45" customHeight="1">
      <c r="B14" s="80">
        <v>1.2000000000000002</v>
      </c>
      <c r="C14" s="3"/>
      <c r="D14" s="54" t="s">
        <v>56</v>
      </c>
      <c r="E14" s="55"/>
      <c r="F14" s="3" t="str">
        <f>VLOOKUP($D$7,'Source Data'!$A$2:$EU$28,4,FALSE)</f>
        <v>xxxxxxxxxxx</v>
      </c>
      <c r="G14" s="4"/>
    </row>
    <row r="15" spans="2:7" ht="45" customHeight="1">
      <c r="B15" s="80">
        <v>1.3</v>
      </c>
      <c r="C15" s="3"/>
      <c r="D15" s="54" t="s">
        <v>58</v>
      </c>
      <c r="E15" s="55"/>
      <c r="F15" s="3" t="str">
        <f>VLOOKUP($D$7,'Source Data'!$A$2:$EU$28,6,FALSE)</f>
        <v>xxxxxxxxxxx</v>
      </c>
      <c r="G15" s="4"/>
    </row>
    <row r="16" spans="2:7" ht="45" customHeight="1">
      <c r="B16" s="80">
        <v>1.4</v>
      </c>
      <c r="C16" s="3"/>
      <c r="D16" s="54" t="s">
        <v>236</v>
      </c>
      <c r="E16" s="55"/>
      <c r="F16" s="3" t="str">
        <f>VLOOKUP($D$7,'Source Data'!$A$2:$EU$28,7,FALSE)</f>
        <v>xxxxxxxxxxx</v>
      </c>
      <c r="G16" s="4"/>
    </row>
    <row r="17" spans="2:7" ht="45" customHeight="1">
      <c r="B17" s="80">
        <v>1.5</v>
      </c>
      <c r="C17" s="3"/>
      <c r="D17" s="54" t="s">
        <v>237</v>
      </c>
      <c r="E17" s="55"/>
      <c r="F17" s="3" t="str">
        <f>VLOOKUP($D$7,'Source Data'!$A$2:$EU$28,8,FALSE)</f>
        <v>xxxxxxxxxxx</v>
      </c>
      <c r="G17" s="4"/>
    </row>
    <row r="18" spans="2:7" ht="45" customHeight="1">
      <c r="B18" s="80">
        <v>1.6</v>
      </c>
      <c r="C18" s="3"/>
      <c r="D18" s="54" t="s">
        <v>61</v>
      </c>
      <c r="E18" s="55"/>
      <c r="F18" s="3" t="str">
        <f>VLOOKUP($D$7,'Source Data'!$A$2:$EU$28,9,FALSE)</f>
        <v>Ester Oil</v>
      </c>
      <c r="G18" s="4"/>
    </row>
    <row r="19" spans="2:7" ht="24.6" customHeight="1">
      <c r="B19" s="81">
        <v>2</v>
      </c>
      <c r="C19" s="3" t="s">
        <v>238</v>
      </c>
      <c r="D19" s="56" t="s">
        <v>62</v>
      </c>
      <c r="E19" s="55"/>
      <c r="F19" s="3"/>
      <c r="G19" s="4"/>
    </row>
    <row r="20" spans="2:7" ht="45" customHeight="1">
      <c r="B20" s="80">
        <v>2.1</v>
      </c>
      <c r="C20" s="3"/>
      <c r="D20" s="54" t="s">
        <v>63</v>
      </c>
      <c r="E20" s="55" t="s">
        <v>239</v>
      </c>
      <c r="F20" s="3">
        <f>VLOOKUP($D$7,'Source Data'!$A$2:$EU$28,11,FALSE)</f>
        <v>50</v>
      </c>
      <c r="G20" s="4"/>
    </row>
    <row r="21" spans="2:7" ht="45" customHeight="1">
      <c r="B21" s="80">
        <v>2.2000000000000002</v>
      </c>
      <c r="C21" s="3"/>
      <c r="D21" s="54" t="s">
        <v>64</v>
      </c>
      <c r="E21" s="55" t="s">
        <v>240</v>
      </c>
      <c r="F21" s="3">
        <f>VLOOKUP($D$7,'Source Data'!$A$2:$EU$28,12,FALSE)</f>
        <v>33</v>
      </c>
      <c r="G21" s="4"/>
    </row>
    <row r="22" spans="2:7" ht="45" customHeight="1">
      <c r="B22" s="80">
        <v>2.3000000000000003</v>
      </c>
      <c r="C22" s="3"/>
      <c r="D22" s="54" t="s">
        <v>241</v>
      </c>
      <c r="E22" s="55" t="s">
        <v>240</v>
      </c>
      <c r="F22" s="3">
        <f>VLOOKUP($D$7,'Source Data'!$A$2:$EU$28,13,FALSE)</f>
        <v>19</v>
      </c>
      <c r="G22" s="4"/>
    </row>
    <row r="23" spans="2:7" ht="45" customHeight="1">
      <c r="B23" s="80">
        <v>2.4000000000000004</v>
      </c>
      <c r="C23" s="3"/>
      <c r="D23" s="54" t="s">
        <v>66</v>
      </c>
      <c r="E23" s="55" t="s">
        <v>242</v>
      </c>
      <c r="F23" s="3">
        <f>VLOOKUP($D$7,'Source Data'!$A$2:$EU$28,14,FALSE)</f>
        <v>50</v>
      </c>
      <c r="G23" s="4"/>
    </row>
    <row r="24" spans="2:7" ht="45" customHeight="1">
      <c r="B24" s="80">
        <v>2.5</v>
      </c>
      <c r="C24" s="3"/>
      <c r="D24" s="54" t="s">
        <v>67</v>
      </c>
      <c r="E24" s="55"/>
      <c r="F24" s="3" t="str">
        <f>VLOOKUP($D$7,'Source Data'!$A$2:$EU$28,15,FALSE)</f>
        <v>1ph</v>
      </c>
      <c r="G24" s="4"/>
    </row>
    <row r="25" spans="2:7" ht="45" customHeight="1">
      <c r="B25" s="80">
        <v>2.6</v>
      </c>
      <c r="C25" s="3"/>
      <c r="D25" s="54" t="s">
        <v>68</v>
      </c>
      <c r="E25" s="55"/>
      <c r="F25" s="3" t="str">
        <f>VLOOKUP($D$7,'Source Data'!$A$2:$EU$28,16,FALSE)</f>
        <v>N/A</v>
      </c>
      <c r="G25" s="4" t="s">
        <v>178</v>
      </c>
    </row>
    <row r="26" spans="2:7" ht="24.6" customHeight="1">
      <c r="B26" s="81">
        <v>3</v>
      </c>
      <c r="C26" s="3" t="s">
        <v>243</v>
      </c>
      <c r="D26" s="56" t="s">
        <v>69</v>
      </c>
      <c r="E26" s="55"/>
      <c r="F26" s="3"/>
      <c r="G26" s="4"/>
    </row>
    <row r="27" spans="2:7" ht="45" customHeight="1">
      <c r="B27" s="80">
        <v>3.1</v>
      </c>
      <c r="C27" s="3"/>
      <c r="D27" s="54" t="s">
        <v>70</v>
      </c>
      <c r="E27" s="55" t="s">
        <v>240</v>
      </c>
      <c r="F27" s="3">
        <f>VLOOKUP($D$7,'Source Data'!$A$2:$EU$28,18,FALSE)</f>
        <v>200</v>
      </c>
      <c r="G27" s="4"/>
    </row>
    <row r="28" spans="2:7" ht="45" customHeight="1">
      <c r="B28" s="80">
        <v>3.2</v>
      </c>
      <c r="C28" s="3"/>
      <c r="D28" s="54" t="s">
        <v>71</v>
      </c>
      <c r="E28" s="55" t="s">
        <v>240</v>
      </c>
      <c r="F28" s="3">
        <f>VLOOKUP($D$7,'Source Data'!$A$2:$EU$28,19,FALSE)</f>
        <v>200</v>
      </c>
      <c r="G28" s="4"/>
    </row>
    <row r="29" spans="2:7" ht="45" customHeight="1">
      <c r="B29" s="80">
        <v>3.3</v>
      </c>
      <c r="C29" s="3"/>
      <c r="D29" s="54" t="s">
        <v>72</v>
      </c>
      <c r="E29" s="55" t="s">
        <v>240</v>
      </c>
      <c r="F29" s="3">
        <f>VLOOKUP($D$7,'Source Data'!$A$2:$EU$28,20,FALSE)</f>
        <v>30</v>
      </c>
      <c r="G29" s="4"/>
    </row>
    <row r="30" spans="2:7" ht="45" customHeight="1">
      <c r="B30" s="80">
        <v>3.4</v>
      </c>
      <c r="C30" s="3"/>
      <c r="D30" s="54" t="s">
        <v>73</v>
      </c>
      <c r="E30" s="55" t="s">
        <v>240</v>
      </c>
      <c r="F30" s="3">
        <f>VLOOKUP($D$7,'Source Data'!$A$2:$EU$28,21,FALSE)</f>
        <v>70</v>
      </c>
      <c r="G30" s="4"/>
    </row>
    <row r="31" spans="2:7" ht="45" customHeight="1">
      <c r="B31" s="80">
        <v>3.5</v>
      </c>
      <c r="C31" s="3"/>
      <c r="D31" s="54" t="s">
        <v>74</v>
      </c>
      <c r="E31" s="55" t="s">
        <v>240</v>
      </c>
      <c r="F31" s="3">
        <f>VLOOKUP($D$7,'Source Data'!$A$2:$EU$28,22,FALSE)</f>
        <v>8</v>
      </c>
      <c r="G31" s="4"/>
    </row>
    <row r="32" spans="2:7" ht="33" customHeight="1">
      <c r="B32" s="81">
        <v>4</v>
      </c>
      <c r="C32" s="3" t="s">
        <v>244</v>
      </c>
      <c r="D32" s="56" t="s">
        <v>75</v>
      </c>
      <c r="E32" s="55"/>
      <c r="F32" s="3"/>
      <c r="G32" s="4"/>
    </row>
    <row r="33" spans="2:7" ht="45" customHeight="1">
      <c r="B33" s="80">
        <v>4.0999999999999996</v>
      </c>
      <c r="C33" s="3"/>
      <c r="D33" s="54" t="s">
        <v>76</v>
      </c>
      <c r="E33" s="55"/>
      <c r="F33" s="3" t="str">
        <f>VLOOKUP($D$7,'Source Data'!$A$2:$EU$28,24,FALSE)</f>
        <v>xxxxxxxxxxx</v>
      </c>
      <c r="G33" s="4"/>
    </row>
    <row r="34" spans="2:7" ht="45" customHeight="1">
      <c r="B34" s="80">
        <v>4.1999999999999993</v>
      </c>
      <c r="C34" s="3"/>
      <c r="D34" s="54" t="s">
        <v>77</v>
      </c>
      <c r="E34" s="55"/>
      <c r="F34" s="3" t="str">
        <f>VLOOKUP($D$7,'Source Data'!$A$2:$EU$28,25,FALSE)</f>
        <v>Grade 3</v>
      </c>
      <c r="G34" s="4"/>
    </row>
    <row r="35" spans="2:7" ht="45" customHeight="1">
      <c r="B35" s="80">
        <v>4.3</v>
      </c>
      <c r="C35" s="3"/>
      <c r="D35" s="54" t="s">
        <v>78</v>
      </c>
      <c r="E35" s="55" t="s">
        <v>245</v>
      </c>
      <c r="F35" s="3" t="str">
        <f>VLOOKUP($D$7,'Source Data'!$A$2:$EU$28,26,FALSE)</f>
        <v>&gt; 0.125</v>
      </c>
      <c r="G35" s="4"/>
    </row>
    <row r="36" spans="2:7" ht="45" customHeight="1">
      <c r="B36" s="80">
        <v>4.3999999999999995</v>
      </c>
      <c r="C36" s="3"/>
      <c r="D36" s="54" t="s">
        <v>79</v>
      </c>
      <c r="E36" s="55"/>
      <c r="F36" s="3" t="str">
        <f>VLOOKUP($D$7,'Source Data'!$A$2:$EU$28,27,FALSE)</f>
        <v>xxxxxxxxxxx</v>
      </c>
      <c r="G36" s="4"/>
    </row>
    <row r="37" spans="2:7" ht="45" customHeight="1">
      <c r="B37" s="80">
        <v>4.5</v>
      </c>
      <c r="C37" s="3"/>
      <c r="D37" s="54" t="s">
        <v>80</v>
      </c>
      <c r="E37" s="55"/>
      <c r="F37" s="3" t="str">
        <f>VLOOKUP($D$7,'Source Data'!$A$2:$EU$28,28,FALSE)</f>
        <v>xxxxxxxxxxx</v>
      </c>
      <c r="G37" s="4"/>
    </row>
    <row r="38" spans="2:7" ht="45" customHeight="1">
      <c r="B38" s="80">
        <v>4.5999999999999996</v>
      </c>
      <c r="C38" s="3"/>
      <c r="D38" s="54" t="s">
        <v>81</v>
      </c>
      <c r="E38" s="55" t="s">
        <v>240</v>
      </c>
      <c r="F38" s="3">
        <f>VLOOKUP($D$7,'Source Data'!$A$2:$EU$28,29,FALSE)</f>
        <v>21</v>
      </c>
      <c r="G38" s="4"/>
    </row>
    <row r="39" spans="2:7" ht="45" customHeight="1">
      <c r="B39" s="80">
        <v>4.7</v>
      </c>
      <c r="C39" s="3"/>
      <c r="D39" s="54" t="s">
        <v>82</v>
      </c>
      <c r="E39" s="55" t="s">
        <v>240</v>
      </c>
      <c r="F39" s="3">
        <f>VLOOKUP($D$7,'Source Data'!$A$2:$EU$28,30,FALSE)</f>
        <v>8</v>
      </c>
      <c r="G39" s="4"/>
    </row>
    <row r="40" spans="2:7" ht="45" customHeight="1">
      <c r="B40" s="80">
        <v>4.8</v>
      </c>
      <c r="C40" s="3"/>
      <c r="D40" s="54" t="s">
        <v>246</v>
      </c>
      <c r="E40" s="55" t="s">
        <v>247</v>
      </c>
      <c r="F40" s="3" t="str">
        <f>VLOOKUP($D$7,'Source Data'!$A$2:$EU$28,31,FALSE)</f>
        <v>&lt;5</v>
      </c>
      <c r="G40" s="4"/>
    </row>
    <row r="41" spans="2:7" ht="45" customHeight="1">
      <c r="B41" s="81">
        <v>5</v>
      </c>
      <c r="C41" s="3" t="s">
        <v>248</v>
      </c>
      <c r="D41" s="56" t="s">
        <v>84</v>
      </c>
      <c r="E41" s="55"/>
      <c r="F41" s="3"/>
      <c r="G41" s="4"/>
    </row>
    <row r="42" spans="2:7" ht="45" customHeight="1">
      <c r="B42" s="80">
        <v>5.0999999999999996</v>
      </c>
      <c r="C42" s="3"/>
      <c r="D42" s="54" t="s">
        <v>85</v>
      </c>
      <c r="E42" s="55" t="s">
        <v>247</v>
      </c>
      <c r="F42" s="3" t="str">
        <f>VLOOKUP($D$7,'Source Data'!$A$2:$EU$28,33,FALSE)</f>
        <v>&lt; 5</v>
      </c>
      <c r="G42" s="4"/>
    </row>
    <row r="43" spans="2:7" ht="45" customHeight="1">
      <c r="B43" s="80">
        <v>5.1999999999999993</v>
      </c>
      <c r="C43" s="3"/>
      <c r="D43" s="54" t="s">
        <v>86</v>
      </c>
      <c r="E43" s="55" t="s">
        <v>247</v>
      </c>
      <c r="F43" s="3" t="str">
        <f>VLOOKUP($D$7,'Source Data'!$A$2:$EU$28,34,FALSE)</f>
        <v xml:space="preserve">&lt; 5 </v>
      </c>
      <c r="G43" s="4"/>
    </row>
    <row r="44" spans="2:7" ht="45" customHeight="1">
      <c r="B44" s="80">
        <v>5.3</v>
      </c>
      <c r="C44" s="3"/>
      <c r="D44" s="54" t="s">
        <v>87</v>
      </c>
      <c r="E44" s="55"/>
      <c r="F44" s="3" t="str">
        <f>VLOOKUP($D$7,'Source Data'!$A$2:$EU$28,35,FALSE)</f>
        <v>xxxxxxxxxxx</v>
      </c>
      <c r="G44" s="4"/>
    </row>
    <row r="45" spans="2:7" ht="45" customHeight="1">
      <c r="B45" s="80">
        <v>5.3999999999999995</v>
      </c>
      <c r="C45" s="3"/>
      <c r="D45" s="54" t="s">
        <v>88</v>
      </c>
      <c r="E45" s="55"/>
      <c r="F45" s="3" t="str">
        <f>VLOOKUP($D$7,'Source Data'!$A$2:$EU$28,36,FALSE)</f>
        <v>xxxxxxxxxxx</v>
      </c>
      <c r="G45" s="4"/>
    </row>
    <row r="46" spans="2:7" ht="27" customHeight="1">
      <c r="B46" s="81">
        <v>6</v>
      </c>
      <c r="C46" s="3" t="s">
        <v>249</v>
      </c>
      <c r="D46" s="56" t="s">
        <v>89</v>
      </c>
      <c r="E46" s="55"/>
      <c r="F46" s="3"/>
      <c r="G46" s="4"/>
    </row>
    <row r="47" spans="2:7" ht="45" customHeight="1">
      <c r="B47" s="80">
        <v>6.1</v>
      </c>
      <c r="C47" s="3"/>
      <c r="D47" s="54" t="s">
        <v>90</v>
      </c>
      <c r="E47" s="55"/>
      <c r="F47" s="3" t="str">
        <f>VLOOKUP($D$7,'Source Data'!$A$2:$EU$28,38,FALSE)</f>
        <v>xxxxxxxxxxx</v>
      </c>
      <c r="G47" s="4" t="s">
        <v>178</v>
      </c>
    </row>
    <row r="48" spans="2:7" ht="31.15" customHeight="1">
      <c r="B48" s="81">
        <v>7</v>
      </c>
      <c r="C48" s="3" t="s">
        <v>250</v>
      </c>
      <c r="D48" s="56" t="s">
        <v>100</v>
      </c>
      <c r="E48" s="55"/>
      <c r="F48" s="3"/>
      <c r="G48" s="4"/>
    </row>
    <row r="49" spans="2:7" ht="45" customHeight="1">
      <c r="B49" s="80">
        <v>7.1</v>
      </c>
      <c r="C49" s="3"/>
      <c r="D49" s="54" t="s">
        <v>93</v>
      </c>
      <c r="E49" s="55"/>
      <c r="F49" s="3" t="str">
        <f>VLOOKUP($D$7,'Source Data'!$A$2:$EU$28,49,FALSE)</f>
        <v>xxxxxxxxxxx</v>
      </c>
      <c r="G49" s="4"/>
    </row>
    <row r="50" spans="2:7" ht="45" customHeight="1">
      <c r="B50" s="80">
        <v>7.2</v>
      </c>
      <c r="C50" s="3"/>
      <c r="D50" s="54" t="s">
        <v>94</v>
      </c>
      <c r="E50" s="55"/>
      <c r="F50" s="3" t="str">
        <f>VLOOKUP($D$7,'Source Data'!$A$2:$EU$28,50,FALSE)</f>
        <v>xxxxxxxxxxx</v>
      </c>
      <c r="G50" s="4"/>
    </row>
    <row r="51" spans="2:7" ht="45" customHeight="1">
      <c r="B51" s="80">
        <v>7.3</v>
      </c>
      <c r="C51" s="3"/>
      <c r="D51" s="54" t="s">
        <v>95</v>
      </c>
      <c r="E51" s="55"/>
      <c r="F51" s="3" t="str">
        <f>VLOOKUP($D$7,'Source Data'!$A$2:$EU$28,51,FALSE)</f>
        <v>xxxxxxxxxxx</v>
      </c>
      <c r="G51" s="4"/>
    </row>
    <row r="52" spans="2:7" ht="45" customHeight="1">
      <c r="B52" s="80">
        <v>7.4</v>
      </c>
      <c r="C52" s="3"/>
      <c r="D52" s="54" t="s">
        <v>96</v>
      </c>
      <c r="E52" s="55" t="s">
        <v>251</v>
      </c>
      <c r="F52" s="3" t="str">
        <f>VLOOKUP($D$7,'Source Data'!$A$2:$EU$28,52,FALSE)</f>
        <v>≥ 31</v>
      </c>
      <c r="G52" s="4"/>
    </row>
    <row r="53" spans="2:7" ht="45" customHeight="1">
      <c r="B53" s="80">
        <v>7.5</v>
      </c>
      <c r="C53" s="3"/>
      <c r="D53" s="54" t="s">
        <v>97</v>
      </c>
      <c r="E53" s="55"/>
      <c r="F53" s="3" t="str">
        <f>VLOOKUP($D$7,'Source Data'!$A$2:$EU$28,53,FALSE)</f>
        <v>Base</v>
      </c>
      <c r="G53" s="4"/>
    </row>
    <row r="54" spans="2:7" ht="45" customHeight="1">
      <c r="B54" s="80">
        <v>7.6</v>
      </c>
      <c r="C54" s="3"/>
      <c r="D54" s="54" t="s">
        <v>98</v>
      </c>
      <c r="E54" s="55"/>
      <c r="F54" s="3" t="str">
        <f>VLOOKUP($D$7,'Source Data'!$A$2:$EU$28,54,FALSE)</f>
        <v>Draw lead</v>
      </c>
      <c r="G54" s="4"/>
    </row>
    <row r="55" spans="2:7" ht="45" customHeight="1">
      <c r="B55" s="80">
        <v>7.7</v>
      </c>
      <c r="C55" s="3"/>
      <c r="D55" s="54" t="s">
        <v>99</v>
      </c>
      <c r="E55" s="55"/>
      <c r="F55" s="3" t="str">
        <f>VLOOKUP($D$7,'Source Data'!$A$2:$EU$28,55,FALSE)</f>
        <v>M12</v>
      </c>
      <c r="G55" s="4"/>
    </row>
    <row r="56" spans="2:7" ht="45" customHeight="1">
      <c r="B56" s="80">
        <v>7.8</v>
      </c>
      <c r="C56" s="3" t="s">
        <v>250</v>
      </c>
      <c r="D56" s="56" t="s">
        <v>101</v>
      </c>
      <c r="E56" s="55"/>
      <c r="F56" s="3"/>
      <c r="G56" s="4"/>
    </row>
    <row r="57" spans="2:7" ht="45" customHeight="1">
      <c r="B57" s="80">
        <v>7.9</v>
      </c>
      <c r="C57" s="3"/>
      <c r="D57" s="2" t="s">
        <v>93</v>
      </c>
      <c r="E57" s="55"/>
      <c r="F57" s="3" t="str">
        <f>VLOOKUP($D$7,'Source Data'!$A$2:$EU$28,57,FALSE)</f>
        <v>xxxxxxxxxxx</v>
      </c>
      <c r="G57" s="4"/>
    </row>
    <row r="58" spans="2:7" ht="45" customHeight="1">
      <c r="B58" s="82" t="s">
        <v>252</v>
      </c>
      <c r="C58" s="3"/>
      <c r="D58" s="2" t="s">
        <v>94</v>
      </c>
      <c r="E58" s="55"/>
      <c r="F58" s="3" t="str">
        <f>VLOOKUP($D$7,'Source Data'!$A$2:$EU$28,58,FALSE)</f>
        <v>xxxxxxxxxxx</v>
      </c>
      <c r="G58" s="4"/>
    </row>
    <row r="59" spans="2:7" ht="45" customHeight="1">
      <c r="B59" s="82" t="s">
        <v>253</v>
      </c>
      <c r="C59" s="3"/>
      <c r="D59" s="2" t="s">
        <v>95</v>
      </c>
      <c r="E59" s="55"/>
      <c r="F59" s="3" t="str">
        <f>VLOOKUP($D$7,'Source Data'!$A$2:$EU$28,59,FALSE)</f>
        <v>xxxxxxxxxxx</v>
      </c>
      <c r="G59" s="4"/>
    </row>
    <row r="60" spans="2:7" ht="45" customHeight="1">
      <c r="B60" s="82" t="s">
        <v>254</v>
      </c>
      <c r="C60" s="3"/>
      <c r="D60" s="2" t="s">
        <v>96</v>
      </c>
      <c r="E60" s="55"/>
      <c r="F60" s="3" t="str">
        <f>VLOOKUP($D$7,'Source Data'!$A$2:$EU$28,60,FALSE)</f>
        <v>≥ 31</v>
      </c>
      <c r="G60" s="4"/>
    </row>
    <row r="61" spans="2:7" ht="45" customHeight="1">
      <c r="B61" s="82" t="s">
        <v>255</v>
      </c>
      <c r="C61" s="3"/>
      <c r="D61" s="2" t="s">
        <v>97</v>
      </c>
      <c r="E61" s="55"/>
      <c r="F61" s="3" t="str">
        <f>VLOOKUP($D$7,'Source Data'!$A$2:$EU$28,61,FALSE)</f>
        <v>Base</v>
      </c>
      <c r="G61" s="4"/>
    </row>
    <row r="62" spans="2:7" ht="45" customHeight="1">
      <c r="B62" s="82" t="s">
        <v>256</v>
      </c>
      <c r="C62" s="3"/>
      <c r="D62" s="2" t="s">
        <v>98</v>
      </c>
      <c r="E62" s="55"/>
      <c r="F62" s="3" t="str">
        <f>VLOOKUP($D$7,'Source Data'!$A$2:$EU$28,62,FALSE)</f>
        <v>Draw lead</v>
      </c>
      <c r="G62" s="4"/>
    </row>
    <row r="63" spans="2:7" ht="45" customHeight="1">
      <c r="B63" s="82" t="s">
        <v>257</v>
      </c>
      <c r="C63" s="3"/>
      <c r="D63" s="2" t="s">
        <v>99</v>
      </c>
      <c r="E63" s="55"/>
      <c r="F63" s="3" t="str">
        <f>VLOOKUP($D$7,'Source Data'!$A$2:$EU$28,63,FALSE)</f>
        <v>M12</v>
      </c>
      <c r="G63" s="4"/>
    </row>
    <row r="64" spans="2:7" ht="15.6">
      <c r="B64" s="81">
        <v>8</v>
      </c>
      <c r="C64" s="3" t="s">
        <v>250</v>
      </c>
      <c r="D64" s="56" t="s">
        <v>102</v>
      </c>
      <c r="E64" s="55"/>
      <c r="F64" s="3"/>
      <c r="G64" s="4"/>
    </row>
    <row r="65" spans="2:7" ht="45" customHeight="1">
      <c r="B65" s="80">
        <v>8.1</v>
      </c>
      <c r="C65" s="3"/>
      <c r="D65" s="54" t="s">
        <v>93</v>
      </c>
      <c r="E65" s="55"/>
      <c r="F65" s="3" t="str">
        <f>VLOOKUP($D$7,'Source Data'!$A$2:$EU$28,65,FALSE)</f>
        <v>xxxxxxxxxxx</v>
      </c>
      <c r="G65" s="4"/>
    </row>
    <row r="66" spans="2:7" ht="45" customHeight="1">
      <c r="B66" s="80">
        <v>8.1999999999999993</v>
      </c>
      <c r="C66" s="3"/>
      <c r="D66" s="54" t="s">
        <v>94</v>
      </c>
      <c r="E66" s="55"/>
      <c r="F66" s="3" t="str">
        <f>VLOOKUP($D$7,'Source Data'!$A$2:$EU$28,66,FALSE)</f>
        <v>xxxxxxxxxxx</v>
      </c>
      <c r="G66" s="4"/>
    </row>
    <row r="67" spans="2:7" ht="45" customHeight="1">
      <c r="B67" s="80">
        <v>8.3000000000000007</v>
      </c>
      <c r="C67" s="3"/>
      <c r="D67" s="54" t="s">
        <v>95</v>
      </c>
      <c r="E67" s="55"/>
      <c r="F67" s="3" t="str">
        <f>VLOOKUP($D$7,'Source Data'!$A$2:$EU$28,67,FALSE)</f>
        <v>xxxxxxxxxxx</v>
      </c>
      <c r="G67" s="4"/>
    </row>
    <row r="68" spans="2:7" ht="45" customHeight="1">
      <c r="B68" s="80">
        <v>8.4</v>
      </c>
      <c r="C68" s="3"/>
      <c r="D68" s="54" t="s">
        <v>99</v>
      </c>
      <c r="E68" s="55"/>
      <c r="F68" s="3" t="str">
        <f>VLOOKUP($D$7,'Source Data'!$A$2:$EU$28,68,FALSE)</f>
        <v>M12</v>
      </c>
      <c r="G68" s="4"/>
    </row>
    <row r="69" spans="2:7" ht="28.15" customHeight="1">
      <c r="B69" s="81">
        <v>9</v>
      </c>
      <c r="C69" s="3" t="s">
        <v>258</v>
      </c>
      <c r="D69" s="56" t="s">
        <v>105</v>
      </c>
      <c r="E69" s="55"/>
      <c r="F69" s="3"/>
      <c r="G69" s="4"/>
    </row>
    <row r="70" spans="2:7" ht="45" customHeight="1">
      <c r="B70" s="80">
        <v>9.1</v>
      </c>
      <c r="C70" s="3"/>
      <c r="D70" s="54" t="s">
        <v>106</v>
      </c>
      <c r="E70" s="55"/>
      <c r="F70" s="3" t="str">
        <f>VLOOKUP($D$7,'Source Data'!$A$2:$EU$28,72,FALSE)</f>
        <v>Distribution</v>
      </c>
      <c r="G70" s="4" t="s">
        <v>178</v>
      </c>
    </row>
    <row r="71" spans="2:7" ht="45" customHeight="1">
      <c r="B71" s="80">
        <v>9.1999999999999993</v>
      </c>
      <c r="C71" s="3"/>
      <c r="D71" s="54" t="s">
        <v>107</v>
      </c>
      <c r="E71" s="55" t="s">
        <v>259</v>
      </c>
      <c r="F71" s="3">
        <f>VLOOKUP($D$7,'Source Data'!$A$2:$EU$28,73,FALSE)</f>
        <v>80500</v>
      </c>
      <c r="G71" s="4" t="s">
        <v>178</v>
      </c>
    </row>
    <row r="72" spans="2:7" ht="45" customHeight="1">
      <c r="B72" s="80">
        <v>9.3000000000000007</v>
      </c>
      <c r="C72" s="3"/>
      <c r="D72" s="54" t="s">
        <v>108</v>
      </c>
      <c r="E72" s="55" t="s">
        <v>259</v>
      </c>
      <c r="F72" s="3">
        <f>VLOOKUP($D$7,'Source Data'!$A$2:$EU$28,74,FALSE)</f>
        <v>17500</v>
      </c>
      <c r="G72" s="4" t="s">
        <v>178</v>
      </c>
    </row>
    <row r="73" spans="2:7" ht="45" customHeight="1">
      <c r="B73" s="80">
        <v>9.4</v>
      </c>
      <c r="C73" s="3"/>
      <c r="D73" s="54" t="s">
        <v>260</v>
      </c>
      <c r="E73" s="55" t="s">
        <v>261</v>
      </c>
      <c r="F73" s="3">
        <f>VLOOKUP($D$7,'Source Data'!$A$2:$EU$28,75,FALSE)</f>
        <v>110</v>
      </c>
      <c r="G73" s="4"/>
    </row>
    <row r="74" spans="2:7" ht="45" customHeight="1">
      <c r="B74" s="80">
        <v>9.5</v>
      </c>
      <c r="C74" s="3"/>
      <c r="D74" s="54" t="s">
        <v>262</v>
      </c>
      <c r="E74" s="55" t="s">
        <v>261</v>
      </c>
      <c r="F74" s="3">
        <f>VLOOKUP($D$7,'Source Data'!$A$2:$EU$28,151,FALSE)</f>
        <v>40</v>
      </c>
      <c r="G74" s="4"/>
    </row>
    <row r="75" spans="2:7" ht="45" customHeight="1">
      <c r="B75" s="80">
        <v>9.6</v>
      </c>
      <c r="C75" s="3"/>
      <c r="D75" s="54" t="s">
        <v>263</v>
      </c>
      <c r="E75" s="55" t="s">
        <v>261</v>
      </c>
      <c r="F75" s="3">
        <f>VLOOKUP($D$7,'Source Data'!$A$2:$EU$28,76,FALSE)</f>
        <v>880</v>
      </c>
      <c r="G75" s="4"/>
    </row>
    <row r="76" spans="2:7" ht="27" customHeight="1">
      <c r="B76" s="81">
        <v>10</v>
      </c>
      <c r="C76" s="3" t="s">
        <v>258</v>
      </c>
      <c r="D76" s="57" t="s">
        <v>111</v>
      </c>
      <c r="E76" s="55"/>
      <c r="F76" s="3"/>
      <c r="G76" s="4"/>
    </row>
    <row r="77" spans="2:7" ht="45" customHeight="1">
      <c r="B77" s="80">
        <v>10.1</v>
      </c>
      <c r="C77" s="3"/>
      <c r="D77" s="58" t="s">
        <v>112</v>
      </c>
      <c r="E77" s="55" t="s">
        <v>264</v>
      </c>
      <c r="F77" s="59" t="str">
        <f>VLOOKUP($D$7,'Source Data'!$A$2:$EU$28,78,FALSE)</f>
        <v>3,0 to 4,5</v>
      </c>
      <c r="G77" s="4"/>
    </row>
    <row r="78" spans="2:7" ht="45" customHeight="1">
      <c r="B78" s="80">
        <v>10.199999999999999</v>
      </c>
      <c r="C78" s="3"/>
      <c r="D78" s="58" t="s">
        <v>113</v>
      </c>
      <c r="E78" s="55"/>
      <c r="F78" s="59" t="str">
        <f>VLOOKUP($D$7,'Source Data'!$A$2:$EU$28,79,FALSE)</f>
        <v>xxxxxxxxxx</v>
      </c>
      <c r="G78" s="4"/>
    </row>
    <row r="79" spans="2:7" ht="27" customHeight="1">
      <c r="B79" s="81">
        <v>11</v>
      </c>
      <c r="C79" s="3"/>
      <c r="D79" s="117" t="s">
        <v>299</v>
      </c>
      <c r="E79" s="55"/>
      <c r="F79" s="3"/>
      <c r="G79" s="4"/>
    </row>
    <row r="80" spans="2:7" ht="45" customHeight="1">
      <c r="B80" s="80">
        <v>11.1</v>
      </c>
      <c r="C80" s="3"/>
      <c r="D80" s="54" t="s">
        <v>115</v>
      </c>
      <c r="E80" s="55" t="s">
        <v>266</v>
      </c>
      <c r="F80" s="59" t="str">
        <f>VLOOKUP($D$7,'Source Data'!$A$2:$EU$28,81,FALSE)</f>
        <v xml:space="preserve">≤ 48 </v>
      </c>
      <c r="G80" s="4"/>
    </row>
    <row r="81" spans="2:7" ht="22.15" customHeight="1">
      <c r="B81" s="81">
        <v>12</v>
      </c>
      <c r="C81" s="3"/>
      <c r="D81" s="56" t="s">
        <v>267</v>
      </c>
      <c r="E81" s="55"/>
      <c r="F81" s="3"/>
      <c r="G81" s="4"/>
    </row>
    <row r="82" spans="2:7" ht="45" customHeight="1">
      <c r="B82" s="80">
        <v>12.1</v>
      </c>
      <c r="C82" s="3"/>
      <c r="D82" s="54" t="s">
        <v>117</v>
      </c>
      <c r="E82" s="55"/>
      <c r="F82" s="59" t="str">
        <f>VLOOKUP($D$7,'Source Data'!$A$2:$EU$28,83,FALSE)</f>
        <v>xxxxxxxxxxx</v>
      </c>
      <c r="G82" s="4"/>
    </row>
    <row r="83" spans="2:7" ht="45" customHeight="1">
      <c r="B83" s="80">
        <v>12.2</v>
      </c>
      <c r="C83" s="3"/>
      <c r="D83" s="54" t="s">
        <v>118</v>
      </c>
      <c r="E83" s="55"/>
      <c r="F83" s="59" t="str">
        <f>VLOOKUP($D$7,'Source Data'!$A$2:$EU$28,84,FALSE)</f>
        <v>xxxxxxxxxxx</v>
      </c>
      <c r="G83" s="4"/>
    </row>
    <row r="84" spans="2:7" ht="21.6" customHeight="1">
      <c r="B84" s="81">
        <v>13</v>
      </c>
      <c r="C84" s="3"/>
      <c r="D84" s="56" t="s">
        <v>119</v>
      </c>
      <c r="E84" s="55"/>
      <c r="F84" s="3"/>
      <c r="G84" s="4"/>
    </row>
    <row r="85" spans="2:7" ht="45" customHeight="1">
      <c r="B85" s="80">
        <v>13.1</v>
      </c>
      <c r="C85" s="3"/>
      <c r="D85" s="54" t="s">
        <v>117</v>
      </c>
      <c r="E85" s="55"/>
      <c r="F85" s="59" t="str">
        <f>VLOOKUP($D$7,'Source Data'!$A$2:$EU$28,86,FALSE)</f>
        <v>xxxxxxxxxxx</v>
      </c>
      <c r="G85" s="4"/>
    </row>
    <row r="86" spans="2:7" ht="45" customHeight="1">
      <c r="B86" s="80">
        <v>13.2</v>
      </c>
      <c r="C86" s="3"/>
      <c r="D86" s="54" t="s">
        <v>118</v>
      </c>
      <c r="E86" s="55"/>
      <c r="F86" s="59" t="str">
        <f>VLOOKUP($D$7,'Source Data'!$A$2:$EU$28,87,FALSE)</f>
        <v>xxxxxxxxxxx</v>
      </c>
      <c r="G86" s="4"/>
    </row>
    <row r="87" spans="2:7" ht="24.6" customHeight="1">
      <c r="B87" s="81">
        <v>14</v>
      </c>
      <c r="C87" s="3"/>
      <c r="D87" s="56" t="s">
        <v>120</v>
      </c>
      <c r="E87" s="55"/>
      <c r="F87" s="3"/>
      <c r="G87" s="4"/>
    </row>
    <row r="88" spans="2:7" ht="45" customHeight="1">
      <c r="B88" s="80">
        <v>14.1</v>
      </c>
      <c r="C88" s="3"/>
      <c r="D88" s="54" t="s">
        <v>121</v>
      </c>
      <c r="E88" s="55"/>
      <c r="F88" s="59" t="str">
        <f>VLOOKUP($D$7,'Source Data'!$A$2:$EU$28,89,FALSE)</f>
        <v>Steel or Amporphous</v>
      </c>
      <c r="G88" s="4"/>
    </row>
    <row r="89" spans="2:7" ht="45" customHeight="1">
      <c r="B89" s="80">
        <v>14.2</v>
      </c>
      <c r="C89" s="3"/>
      <c r="D89" s="54" t="s">
        <v>122</v>
      </c>
      <c r="E89" s="55"/>
      <c r="F89" s="59" t="str">
        <f>VLOOKUP($D$7,'Source Data'!$A$2:$EU$28,90,FALSE)</f>
        <v>xxxxxxxxxxx</v>
      </c>
      <c r="G89" s="4"/>
    </row>
    <row r="90" spans="2:7" ht="45" customHeight="1">
      <c r="B90" s="80">
        <v>14.3</v>
      </c>
      <c r="C90" s="3"/>
      <c r="D90" s="54" t="s">
        <v>123</v>
      </c>
      <c r="E90" s="55"/>
      <c r="F90" s="59" t="str">
        <f>VLOOKUP($D$7,'Source Data'!$A$2:$EU$28,91,FALSE)</f>
        <v>xxxxxxxxxxx</v>
      </c>
      <c r="G90" s="4"/>
    </row>
    <row r="91" spans="2:7" ht="45" customHeight="1">
      <c r="B91" s="80">
        <v>14.4</v>
      </c>
      <c r="C91" s="3"/>
      <c r="D91" s="54" t="s">
        <v>124</v>
      </c>
      <c r="E91" s="55"/>
      <c r="F91" s="59" t="str">
        <f>VLOOKUP($D$7,'Source Data'!$A$2:$EU$28,92,FALSE)</f>
        <v>xxxxxxxxxxx</v>
      </c>
      <c r="G91" s="4"/>
    </row>
    <row r="92" spans="2:7" ht="23.45" customHeight="1">
      <c r="B92" s="81">
        <v>15</v>
      </c>
      <c r="C92" s="3" t="s">
        <v>268</v>
      </c>
      <c r="D92" s="57" t="s">
        <v>125</v>
      </c>
      <c r="E92" s="55"/>
      <c r="F92" s="59"/>
      <c r="G92" s="4"/>
    </row>
    <row r="93" spans="2:7" ht="45" customHeight="1">
      <c r="B93" s="80">
        <v>15.1</v>
      </c>
      <c r="C93" s="3"/>
      <c r="D93" s="54" t="s">
        <v>126</v>
      </c>
      <c r="E93" s="55"/>
      <c r="F93" s="59" t="str">
        <f>VLOOKUP($D$7,'Source Data'!$A$2:$EU$28,94,FALSE)</f>
        <v>Sealed</v>
      </c>
      <c r="G93" s="4"/>
    </row>
    <row r="94" spans="2:7" ht="45" customHeight="1">
      <c r="B94" s="80">
        <v>15.2</v>
      </c>
      <c r="C94" s="3"/>
      <c r="D94" s="54" t="s">
        <v>127</v>
      </c>
      <c r="E94" s="55"/>
      <c r="F94" s="59" t="str">
        <f>VLOOKUP($D$7,'Source Data'!$A$2:$EU$28,95,FALSE)</f>
        <v>xxxxxxxxxx</v>
      </c>
      <c r="G94" s="4"/>
    </row>
    <row r="95" spans="2:7" ht="21.6" customHeight="1">
      <c r="B95" s="81">
        <v>16</v>
      </c>
      <c r="C95" s="3" t="s">
        <v>269</v>
      </c>
      <c r="D95" s="56" t="s">
        <v>128</v>
      </c>
      <c r="E95" s="55"/>
      <c r="F95" s="59"/>
      <c r="G95" s="4"/>
    </row>
    <row r="96" spans="2:7" ht="40.15" customHeight="1">
      <c r="B96" s="80">
        <v>16.100000000000001</v>
      </c>
      <c r="C96" s="3" t="s">
        <v>270</v>
      </c>
      <c r="D96" s="54" t="s">
        <v>129</v>
      </c>
      <c r="E96" s="55" t="s">
        <v>245</v>
      </c>
      <c r="F96" s="59" t="str">
        <f>VLOOKUP($D$7,'Source Data'!$A$2:$EU$28,97,FALSE)</f>
        <v xml:space="preserve">≤ 1 080 </v>
      </c>
      <c r="G96" s="4"/>
    </row>
    <row r="97" spans="2:7" ht="40.15" customHeight="1">
      <c r="B97" s="80">
        <v>16.2</v>
      </c>
      <c r="C97" s="3" t="s">
        <v>270</v>
      </c>
      <c r="D97" s="54" t="s">
        <v>130</v>
      </c>
      <c r="E97" s="55" t="s">
        <v>245</v>
      </c>
      <c r="F97" s="59" t="str">
        <f>VLOOKUP($D$7,'Source Data'!$A$2:$EU$28,98,FALSE)</f>
        <v xml:space="preserve">≤ 1 500 </v>
      </c>
      <c r="G97" s="4"/>
    </row>
    <row r="98" spans="2:7" ht="40.15" customHeight="1">
      <c r="B98" s="80">
        <v>16.3</v>
      </c>
      <c r="C98" s="3" t="s">
        <v>270</v>
      </c>
      <c r="D98" s="54" t="s">
        <v>131</v>
      </c>
      <c r="E98" s="55" t="s">
        <v>245</v>
      </c>
      <c r="F98" s="59" t="str">
        <f>VLOOKUP($D$7,'Source Data'!$A$2:$EU$28,99,FALSE)</f>
        <v xml:space="preserve">≤ 1 500 </v>
      </c>
      <c r="G98" s="4"/>
    </row>
    <row r="99" spans="2:7" ht="40.15" customHeight="1">
      <c r="B99" s="80">
        <v>16.399999999999999</v>
      </c>
      <c r="C99" s="3" t="s">
        <v>270</v>
      </c>
      <c r="D99" s="54" t="s">
        <v>132</v>
      </c>
      <c r="E99" s="55" t="s">
        <v>271</v>
      </c>
      <c r="F99" s="3" t="str">
        <f>VLOOKUP($D$7,'Source Data'!$A$2:$EU$28,100,FALSE)</f>
        <v xml:space="preserve">≤ 900 </v>
      </c>
      <c r="G99" s="4"/>
    </row>
    <row r="100" spans="2:7" ht="40.15" customHeight="1">
      <c r="B100" s="80">
        <v>16.5</v>
      </c>
      <c r="C100" s="3"/>
      <c r="D100" s="54" t="s">
        <v>133</v>
      </c>
      <c r="E100" s="55" t="s">
        <v>272</v>
      </c>
      <c r="F100" s="3" t="str">
        <f>VLOOKUP($D$7,'Source Data'!$A$2:$EU$28,101,FALSE)</f>
        <v>xxxxxxxxxxx</v>
      </c>
      <c r="G100" s="4"/>
    </row>
    <row r="101" spans="2:7" ht="40.15" customHeight="1">
      <c r="B101" s="80">
        <v>16.600000000000001</v>
      </c>
      <c r="C101" s="3"/>
      <c r="D101" s="54" t="s">
        <v>134</v>
      </c>
      <c r="E101" s="55" t="s">
        <v>245</v>
      </c>
      <c r="F101" s="3">
        <f>VLOOKUP($D$7,'Source Data'!$A$2:$EU$28,102,FALSE)</f>
        <v>400</v>
      </c>
      <c r="G101" s="4"/>
    </row>
    <row r="102" spans="2:7" ht="45" customHeight="1">
      <c r="B102" s="80">
        <v>16.7</v>
      </c>
      <c r="C102" s="3" t="s">
        <v>273</v>
      </c>
      <c r="D102" s="54" t="s">
        <v>135</v>
      </c>
      <c r="E102" s="55" t="s">
        <v>245</v>
      </c>
      <c r="F102" s="3">
        <f>VLOOKUP($D$7,'Source Data'!$A$2:$EU$28,103,FALSE)</f>
        <v>100</v>
      </c>
      <c r="G102" s="4"/>
    </row>
    <row r="103" spans="2:7" ht="25.9" customHeight="1">
      <c r="B103" s="81">
        <v>17</v>
      </c>
      <c r="C103" s="3" t="s">
        <v>273</v>
      </c>
      <c r="D103" s="56" t="s">
        <v>136</v>
      </c>
      <c r="E103" s="55"/>
      <c r="F103" s="3"/>
      <c r="G103" s="4"/>
    </row>
    <row r="104" spans="2:7" ht="45" customHeight="1">
      <c r="B104" s="80">
        <v>17.100000000000001</v>
      </c>
      <c r="C104" s="3"/>
      <c r="D104" s="54" t="s">
        <v>137</v>
      </c>
      <c r="E104" s="55"/>
      <c r="F104" s="3" t="str">
        <f>VLOOKUP($D$7,'Source Data'!$A$2:$EU$28,105,FALSE)</f>
        <v>No</v>
      </c>
      <c r="G104" s="4" t="s">
        <v>178</v>
      </c>
    </row>
    <row r="105" spans="2:7" ht="45" customHeight="1">
      <c r="B105" s="80" t="s">
        <v>274</v>
      </c>
      <c r="C105" s="83"/>
      <c r="D105" s="54" t="s">
        <v>138</v>
      </c>
      <c r="E105" s="55"/>
      <c r="F105" s="3" t="str">
        <f>VLOOKUP($D$7,'Source Data'!$A$2:$EU$28,106,FALSE)</f>
        <v>N/A</v>
      </c>
      <c r="G105" s="4" t="s">
        <v>178</v>
      </c>
    </row>
    <row r="106" spans="2:7" ht="45" customHeight="1">
      <c r="B106" s="80" t="s">
        <v>275</v>
      </c>
      <c r="C106" s="83"/>
      <c r="D106" s="58" t="s">
        <v>139</v>
      </c>
      <c r="E106" s="55"/>
      <c r="F106" s="3" t="str">
        <f>VLOOKUP($D$7,'Source Data'!$A$2:$EU$28,107,FALSE)</f>
        <v>N/A</v>
      </c>
      <c r="G106" s="4" t="s">
        <v>178</v>
      </c>
    </row>
    <row r="107" spans="2:7" ht="45" customHeight="1">
      <c r="B107" s="80" t="s">
        <v>276</v>
      </c>
      <c r="C107" s="83"/>
      <c r="D107" s="58" t="s">
        <v>140</v>
      </c>
      <c r="E107" s="55"/>
      <c r="F107" s="3" t="str">
        <f>VLOOKUP($D$7,'Source Data'!$A$2:$EU$28,108,FALSE)</f>
        <v>N/A</v>
      </c>
      <c r="G107" s="4" t="s">
        <v>178</v>
      </c>
    </row>
    <row r="108" spans="2:7" ht="45" customHeight="1">
      <c r="B108" s="80" t="s">
        <v>277</v>
      </c>
      <c r="C108" s="83"/>
      <c r="D108" s="58" t="s">
        <v>141</v>
      </c>
      <c r="E108" s="55"/>
      <c r="F108" s="3" t="str">
        <f>VLOOKUP($D$7,'Source Data'!$A$2:$EU$28,109,FALSE)</f>
        <v>N/A</v>
      </c>
      <c r="G108" s="4"/>
    </row>
    <row r="109" spans="2:7" ht="45" customHeight="1">
      <c r="B109" s="80">
        <v>17.2</v>
      </c>
      <c r="C109" s="3"/>
      <c r="D109" s="54" t="s">
        <v>142</v>
      </c>
      <c r="E109" s="55" t="s">
        <v>245</v>
      </c>
      <c r="F109" s="3" t="str">
        <f>VLOOKUP($D$7,'Source Data'!$A$2:$EU$28,110,FALSE)</f>
        <v>N/A</v>
      </c>
      <c r="G109" s="4" t="s">
        <v>178</v>
      </c>
    </row>
    <row r="110" spans="2:7" ht="45" customHeight="1">
      <c r="B110" s="80">
        <v>17.3</v>
      </c>
      <c r="C110" s="3"/>
      <c r="D110" s="54" t="s">
        <v>143</v>
      </c>
      <c r="E110" s="55" t="s">
        <v>245</v>
      </c>
      <c r="F110" s="3" t="str">
        <f>VLOOKUP($D$7,'Source Data'!$A$2:$EU$28,111,FALSE)</f>
        <v>N/A</v>
      </c>
      <c r="G110" s="4" t="s">
        <v>178</v>
      </c>
    </row>
    <row r="111" spans="2:7" ht="45" customHeight="1">
      <c r="B111" s="80">
        <v>17.399999999999999</v>
      </c>
      <c r="C111" s="3"/>
      <c r="D111" s="54" t="s">
        <v>144</v>
      </c>
      <c r="E111" s="55" t="s">
        <v>245</v>
      </c>
      <c r="F111" s="3" t="str">
        <f>VLOOKUP($D$7,'Source Data'!$A$2:$EU$28,112,FALSE)</f>
        <v>N/A</v>
      </c>
      <c r="G111" s="4" t="s">
        <v>178</v>
      </c>
    </row>
    <row r="112" spans="2:7" ht="45" customHeight="1">
      <c r="B112" s="80">
        <v>17.5</v>
      </c>
      <c r="C112" s="3"/>
      <c r="D112" s="54" t="s">
        <v>145</v>
      </c>
      <c r="E112" s="55" t="s">
        <v>245</v>
      </c>
      <c r="F112" s="3" t="str">
        <f>VLOOKUP($D$7,'Source Data'!$A$2:$EU$28,113,FALSE)</f>
        <v>N/A</v>
      </c>
      <c r="G112" s="4" t="s">
        <v>178</v>
      </c>
    </row>
    <row r="113" spans="2:7" ht="45" customHeight="1">
      <c r="B113" s="80">
        <v>17.600000000000001</v>
      </c>
      <c r="C113" s="3"/>
      <c r="D113" s="54" t="s">
        <v>146</v>
      </c>
      <c r="E113" s="55" t="s">
        <v>245</v>
      </c>
      <c r="F113" s="3" t="str">
        <f>VLOOKUP($D$7,'Source Data'!$A$2:$EU$28,114,FALSE)</f>
        <v>N/A</v>
      </c>
      <c r="G113" s="4" t="s">
        <v>178</v>
      </c>
    </row>
    <row r="114" spans="2:7" ht="45" customHeight="1">
      <c r="B114" s="81">
        <v>18</v>
      </c>
      <c r="C114" s="3" t="s">
        <v>278</v>
      </c>
      <c r="D114" s="56" t="s">
        <v>147</v>
      </c>
      <c r="E114" s="55"/>
      <c r="F114" s="3"/>
      <c r="G114" s="4"/>
    </row>
    <row r="115" spans="2:7" ht="45" customHeight="1">
      <c r="B115" s="80">
        <v>18.100000000000001</v>
      </c>
      <c r="C115" s="3"/>
      <c r="D115" s="54" t="s">
        <v>148</v>
      </c>
      <c r="E115" s="55"/>
      <c r="F115" s="3" t="str">
        <f>VLOOKUP($D$7,'Source Data'!$A$2:$EU$28,116,FALSE)</f>
        <v>Yes</v>
      </c>
      <c r="G115" s="4" t="s">
        <v>178</v>
      </c>
    </row>
    <row r="116" spans="2:7" ht="45" customHeight="1">
      <c r="B116" s="80">
        <v>18.2</v>
      </c>
      <c r="C116" s="3" t="s">
        <v>279</v>
      </c>
      <c r="D116" s="54" t="s">
        <v>149</v>
      </c>
      <c r="E116" s="55" t="s">
        <v>245</v>
      </c>
      <c r="F116" s="3">
        <f>VLOOKUP($D$7,'Source Data'!$A$2:$EU$28,117,FALSE)</f>
        <v>400</v>
      </c>
      <c r="G116" s="4"/>
    </row>
    <row r="117" spans="2:7" ht="45" customHeight="1">
      <c r="B117" s="80">
        <v>18.3</v>
      </c>
      <c r="C117" s="3" t="s">
        <v>279</v>
      </c>
      <c r="D117" s="54" t="s">
        <v>150</v>
      </c>
      <c r="E117" s="55" t="s">
        <v>245</v>
      </c>
      <c r="F117" s="3" t="str">
        <f>VLOOKUP($D$7,'Source Data'!$A$2:$EU$28,118,FALSE)</f>
        <v>xxxxxxxxxxx</v>
      </c>
      <c r="G117" s="4"/>
    </row>
    <row r="118" spans="2:7" ht="45" customHeight="1">
      <c r="B118" s="80">
        <v>18.399999999999999</v>
      </c>
      <c r="C118" s="3" t="s">
        <v>279</v>
      </c>
      <c r="D118" s="54" t="s">
        <v>151</v>
      </c>
      <c r="E118" s="55" t="s">
        <v>245</v>
      </c>
      <c r="F118" s="3" t="str">
        <f>VLOOKUP($D$7,'Source Data'!$A$2:$EU$28,119,FALSE)</f>
        <v>≥ 320</v>
      </c>
      <c r="G118" s="4"/>
    </row>
    <row r="119" spans="2:7" ht="45" customHeight="1">
      <c r="B119" s="80">
        <v>18.5</v>
      </c>
      <c r="C119" s="3" t="s">
        <v>279</v>
      </c>
      <c r="D119" s="54" t="s">
        <v>152</v>
      </c>
      <c r="E119" s="55" t="s">
        <v>245</v>
      </c>
      <c r="F119" s="3" t="str">
        <f>VLOOKUP($D$7,'Source Data'!$A$2:$EU$28,110,FALSE)</f>
        <v>N/A</v>
      </c>
      <c r="G119" s="4"/>
    </row>
    <row r="120" spans="2:7" ht="45" customHeight="1">
      <c r="B120" s="80">
        <v>18.600000000000001</v>
      </c>
      <c r="C120" s="3" t="s">
        <v>279</v>
      </c>
      <c r="D120" s="54" t="s">
        <v>145</v>
      </c>
      <c r="E120" s="55" t="s">
        <v>245</v>
      </c>
      <c r="F120" s="3" t="str">
        <f>VLOOKUP($D$7,'Source Data'!$A$2:$EU$28,111,FALSE)</f>
        <v>N/A</v>
      </c>
      <c r="G120" s="4"/>
    </row>
    <row r="121" spans="2:7" ht="45" customHeight="1">
      <c r="B121" s="81">
        <v>19</v>
      </c>
      <c r="C121" s="3" t="s">
        <v>280</v>
      </c>
      <c r="D121" s="56" t="s">
        <v>153</v>
      </c>
      <c r="E121" s="55"/>
      <c r="F121" s="3"/>
      <c r="G121" s="4"/>
    </row>
    <row r="122" spans="2:7" ht="45" customHeight="1">
      <c r="B122" s="80">
        <v>19.100000000000001</v>
      </c>
      <c r="C122" s="3"/>
      <c r="D122" s="54" t="s">
        <v>154</v>
      </c>
      <c r="E122" s="55"/>
      <c r="F122" s="3" t="str">
        <f>VLOOKUP($D$7,'Source Data'!$A$2:$EU$28,123,FALSE)</f>
        <v>Yes</v>
      </c>
      <c r="G122" s="4"/>
    </row>
    <row r="123" spans="2:7" ht="45" customHeight="1">
      <c r="B123" s="80">
        <v>19.2</v>
      </c>
      <c r="C123" s="3"/>
      <c r="D123" s="54" t="s">
        <v>155</v>
      </c>
      <c r="E123" s="55" t="s">
        <v>245</v>
      </c>
      <c r="F123" s="3" t="str">
        <f>VLOOKUP($D$7,'Source Data'!$A$2:$EU$28,124,FALSE)</f>
        <v xml:space="preserve">≥ 30 </v>
      </c>
      <c r="G123" s="4"/>
    </row>
    <row r="124" spans="2:7" ht="45" customHeight="1">
      <c r="B124" s="81">
        <v>20</v>
      </c>
      <c r="C124" s="3" t="s">
        <v>281</v>
      </c>
      <c r="D124" s="56" t="s">
        <v>156</v>
      </c>
      <c r="E124" s="55"/>
      <c r="F124" s="3"/>
      <c r="G124" s="4"/>
    </row>
    <row r="125" spans="2:7" ht="45" customHeight="1">
      <c r="B125" s="80">
        <v>20.100000000000001</v>
      </c>
      <c r="C125" s="3"/>
      <c r="D125" s="54" t="s">
        <v>157</v>
      </c>
      <c r="E125" s="55"/>
      <c r="F125" s="3" t="str">
        <f>VLOOKUP($D$7,'Source Data'!$A$2:$EU$28,126,FALSE)</f>
        <v>316 Stainless Steel or Mild Steel</v>
      </c>
      <c r="G125" s="4"/>
    </row>
    <row r="126" spans="2:7" ht="45" customHeight="1">
      <c r="B126" s="80">
        <v>20.2</v>
      </c>
      <c r="C126" s="3"/>
      <c r="D126" s="54" t="s">
        <v>158</v>
      </c>
      <c r="E126" s="55" t="s">
        <v>245</v>
      </c>
      <c r="F126" s="3" t="str">
        <f>VLOOKUP($D$7,'Source Data'!$A$2:$EU$28,127,FALSE)</f>
        <v>≥ 30</v>
      </c>
      <c r="G126" s="4"/>
    </row>
    <row r="127" spans="2:7" ht="45" customHeight="1">
      <c r="B127" s="80">
        <v>20.3</v>
      </c>
      <c r="C127" s="3"/>
      <c r="D127" s="54" t="s">
        <v>159</v>
      </c>
      <c r="E127" s="55"/>
      <c r="F127" s="3" t="str">
        <f>VLOOKUP($D$7,'Source Data'!$A$2:$EU$28,128,FALSE)</f>
        <v>316 Stainless Steel or Mild Steel</v>
      </c>
      <c r="G127" s="4"/>
    </row>
    <row r="128" spans="2:7" ht="45" customHeight="1">
      <c r="B128" s="80">
        <v>20.399999999999999</v>
      </c>
      <c r="C128" s="3"/>
      <c r="D128" s="54" t="s">
        <v>160</v>
      </c>
      <c r="E128" s="55" t="s">
        <v>245</v>
      </c>
      <c r="F128" s="3" t="str">
        <f>VLOOKUP($D$7,'Source Data'!$A$2:$EU$28,129,FALSE)</f>
        <v xml:space="preserve">M12 x 25 </v>
      </c>
      <c r="G128" s="4"/>
    </row>
    <row r="129" spans="2:7" ht="45" customHeight="1">
      <c r="B129" s="80">
        <v>20.5</v>
      </c>
      <c r="C129" s="3"/>
      <c r="D129" s="54" t="s">
        <v>161</v>
      </c>
      <c r="E129" s="55"/>
      <c r="F129" s="3" t="str">
        <f>VLOOKUP($D$7,'Source Data'!$A$2:$EU$28,130,FALSE)</f>
        <v>Yes</v>
      </c>
      <c r="G129" s="4"/>
    </row>
    <row r="130" spans="2:7" ht="45" customHeight="1">
      <c r="B130" s="81">
        <v>21</v>
      </c>
      <c r="C130" s="3" t="s">
        <v>282</v>
      </c>
      <c r="D130" s="56" t="s">
        <v>162</v>
      </c>
      <c r="E130" s="55"/>
      <c r="F130" s="3"/>
      <c r="G130" s="4"/>
    </row>
    <row r="131" spans="2:7" ht="45" customHeight="1">
      <c r="B131" s="80">
        <v>21.1</v>
      </c>
      <c r="C131" s="3"/>
      <c r="D131" s="54" t="s">
        <v>163</v>
      </c>
      <c r="E131" s="55"/>
      <c r="F131" s="3" t="str">
        <f>VLOOKUP($D$7,'Source Data'!$A$2:$EU$28,132,FALSE)</f>
        <v>Yes</v>
      </c>
      <c r="G131" s="4"/>
    </row>
    <row r="132" spans="2:7" ht="45" customHeight="1">
      <c r="B132" s="80">
        <v>21.2</v>
      </c>
      <c r="C132" s="3" t="s">
        <v>283</v>
      </c>
      <c r="D132" s="54" t="s">
        <v>145</v>
      </c>
      <c r="E132" s="55" t="s">
        <v>245</v>
      </c>
      <c r="F132" s="3">
        <f>VLOOKUP($D$7,'Source Data'!$A$2:$EU$28,133,FALSE)</f>
        <v>14</v>
      </c>
      <c r="G132" s="4"/>
    </row>
    <row r="133" spans="2:7" ht="45" customHeight="1">
      <c r="B133" s="80">
        <v>21.3</v>
      </c>
      <c r="C133" s="3" t="s">
        <v>283</v>
      </c>
      <c r="D133" s="54" t="s">
        <v>164</v>
      </c>
      <c r="E133" s="55" t="s">
        <v>245</v>
      </c>
      <c r="F133" s="3" t="str">
        <f>VLOOKUP($D$7,'Source Data'!$A$2:$EU$28,134,FALSE)</f>
        <v>≥ 200</v>
      </c>
      <c r="G133" s="4"/>
    </row>
    <row r="134" spans="2:7" ht="45" customHeight="1">
      <c r="B134" s="80">
        <v>21.4</v>
      </c>
      <c r="C134" s="3" t="s">
        <v>283</v>
      </c>
      <c r="D134" s="54" t="s">
        <v>165</v>
      </c>
      <c r="E134" s="55" t="s">
        <v>245</v>
      </c>
      <c r="F134" s="3" t="str">
        <f>VLOOKUP($D$7,'Source Data'!$A$2:$EU$28,135,FALSE)</f>
        <v xml:space="preserve">≥ 400 </v>
      </c>
      <c r="G134" s="4"/>
    </row>
    <row r="135" spans="2:7" ht="45" customHeight="1">
      <c r="B135" s="80">
        <v>21.5</v>
      </c>
      <c r="C135" s="3" t="s">
        <v>283</v>
      </c>
      <c r="D135" s="54" t="s">
        <v>166</v>
      </c>
      <c r="E135" s="55" t="s">
        <v>245</v>
      </c>
      <c r="F135" s="3" t="str">
        <f>VLOOKUP($D$7,'Source Data'!$A$2:$EU$28,136,FALSE)</f>
        <v>≥ 150</v>
      </c>
      <c r="G135" s="4"/>
    </row>
    <row r="136" spans="2:7" ht="45" customHeight="1">
      <c r="B136" s="81">
        <v>22</v>
      </c>
      <c r="C136" s="60">
        <v>3.4</v>
      </c>
      <c r="D136" s="61" t="s">
        <v>173</v>
      </c>
      <c r="E136" s="62"/>
      <c r="F136" s="60"/>
      <c r="G136" s="63"/>
    </row>
    <row r="137" spans="2:7" ht="45" customHeight="1">
      <c r="B137" s="80">
        <v>22.1</v>
      </c>
      <c r="C137" s="3"/>
      <c r="D137" s="64" t="s">
        <v>174</v>
      </c>
      <c r="E137" s="55"/>
      <c r="F137" s="3"/>
      <c r="G137" s="4"/>
    </row>
    <row r="138" spans="2:7" ht="45" customHeight="1">
      <c r="B138" s="80">
        <v>22.2</v>
      </c>
      <c r="C138" s="3"/>
      <c r="D138" s="64" t="s">
        <v>169</v>
      </c>
      <c r="E138" s="55"/>
      <c r="F138" s="3" t="str">
        <f>VLOOKUP($D$7,'Source Data'!$A$2:$EU$28,145,FALSE)</f>
        <v>xxxxxxxxxxx</v>
      </c>
      <c r="G138" s="4"/>
    </row>
    <row r="139" spans="2:7" ht="45" customHeight="1">
      <c r="B139" s="80">
        <v>22.3</v>
      </c>
      <c r="C139" s="3"/>
      <c r="D139" s="64" t="s">
        <v>170</v>
      </c>
      <c r="E139" s="55"/>
      <c r="F139" s="3" t="str">
        <f>VLOOKUP($D$7,'Source Data'!$A$2:$EU$28,146,FALSE)</f>
        <v>xxxxxxxxxxx</v>
      </c>
      <c r="G139" s="4"/>
    </row>
    <row r="140" spans="2:7" ht="45" customHeight="1">
      <c r="B140" s="80">
        <v>22.4</v>
      </c>
      <c r="C140" s="84"/>
      <c r="D140" s="64" t="s">
        <v>171</v>
      </c>
      <c r="E140" s="65"/>
      <c r="F140" s="3" t="str">
        <f>VLOOKUP($D$7,'Source Data'!$A$2:$EU$28,147,FALSE)</f>
        <v>xxxxxxxxxxx</v>
      </c>
      <c r="G140" s="66"/>
    </row>
    <row r="141" spans="2:7" ht="45" customHeight="1">
      <c r="B141" s="80">
        <v>22.5</v>
      </c>
      <c r="C141" s="84"/>
      <c r="D141" s="64" t="s">
        <v>172</v>
      </c>
      <c r="E141" s="65"/>
      <c r="F141" s="3" t="str">
        <f>VLOOKUP($D$7,'Source Data'!$A$2:$EU$28,148,FALSE)</f>
        <v>Azure Blue</v>
      </c>
      <c r="G141" s="66"/>
    </row>
    <row r="142" spans="2:7" ht="151.15">
      <c r="B142" s="85">
        <v>23</v>
      </c>
      <c r="C142" s="84">
        <v>4.2</v>
      </c>
      <c r="D142" s="61" t="s">
        <v>284</v>
      </c>
      <c r="E142" s="65"/>
      <c r="F142" s="3" t="str">
        <f>VLOOKUP($D$7,'Source Data'!$A$2:$EU$28,149,FALSE)</f>
        <v>Report Numbers</v>
      </c>
      <c r="G142" s="66"/>
    </row>
    <row r="143" spans="2:7" ht="241.9" thickBot="1">
      <c r="B143" s="86">
        <v>24</v>
      </c>
      <c r="C143" s="67">
        <v>4.3</v>
      </c>
      <c r="D143" s="68" t="s">
        <v>285</v>
      </c>
      <c r="E143" s="69"/>
      <c r="F143" s="67" t="str">
        <f>VLOOKUP($D$7,'Source Data'!$A$2:$EU$28,150,FALSE)</f>
        <v>Report Numbers</v>
      </c>
      <c r="G143" s="70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&amp;CSWER Isolation, 50kVA 33kV/ 19kV* (Coastal, Ester Oil Only)</oddHeader>
  </headerFooter>
  <rowBreaks count="4" manualBreakCount="4">
    <brk id="37" min="1" max="6" man="1"/>
    <brk id="68" min="1" max="6" man="1"/>
    <brk id="102" min="1" max="6" man="1"/>
    <brk id="123" min="1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B5476-114F-44F8-B404-0602CA330184}">
  <sheetPr>
    <pageSetUpPr fitToPage="1"/>
  </sheetPr>
  <dimension ref="B1:G143"/>
  <sheetViews>
    <sheetView topLeftCell="A74" zoomScale="85" zoomScaleNormal="85" zoomScaleSheetLayoutView="70" workbookViewId="0">
      <selection activeCell="D79" sqref="D79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28" bestFit="1" customWidth="1"/>
    <col min="6" max="6" width="22.85546875" customWidth="1"/>
    <col min="7" max="7" width="30.85546875" customWidth="1"/>
  </cols>
  <sheetData>
    <row r="1" spans="2:7" ht="15" thickBot="1"/>
    <row r="2" spans="2:7">
      <c r="B2" s="29"/>
      <c r="C2" s="30"/>
      <c r="D2" s="30"/>
      <c r="E2" s="31"/>
      <c r="F2" s="30"/>
      <c r="G2" s="32"/>
    </row>
    <row r="3" spans="2:7">
      <c r="B3" s="33"/>
      <c r="C3" s="34"/>
      <c r="D3" s="34"/>
      <c r="E3" s="35"/>
      <c r="F3" s="91" t="s">
        <v>226</v>
      </c>
      <c r="G3" s="92"/>
    </row>
    <row r="4" spans="2:7">
      <c r="B4" s="33"/>
      <c r="C4" s="34"/>
      <c r="D4" s="34"/>
      <c r="E4" s="35"/>
      <c r="F4" s="91" t="str">
        <f>'List of Items &amp; Enquiry number'!B14</f>
        <v>Enquiry Number: 123456XYZ</v>
      </c>
      <c r="G4" s="92"/>
    </row>
    <row r="5" spans="2:7">
      <c r="B5" s="33"/>
      <c r="C5" s="34"/>
      <c r="D5" s="34"/>
      <c r="E5" s="35"/>
      <c r="F5" s="34"/>
      <c r="G5" s="36"/>
    </row>
    <row r="6" spans="2:7" ht="28.9">
      <c r="B6" s="37"/>
      <c r="C6" s="38"/>
      <c r="D6" s="39" t="s">
        <v>227</v>
      </c>
      <c r="E6" s="40"/>
      <c r="F6" s="41"/>
      <c r="G6" s="42"/>
    </row>
    <row r="7" spans="2:7">
      <c r="B7" s="33"/>
      <c r="C7" s="34"/>
      <c r="D7" s="43" t="s">
        <v>28</v>
      </c>
      <c r="E7" s="35"/>
      <c r="F7" s="34"/>
      <c r="G7" s="36"/>
    </row>
    <row r="8" spans="2:7">
      <c r="B8" s="33"/>
      <c r="C8" s="34"/>
      <c r="D8" s="76" t="s">
        <v>228</v>
      </c>
      <c r="E8" s="34"/>
      <c r="F8" s="93" t="s">
        <v>229</v>
      </c>
      <c r="G8" s="94"/>
    </row>
    <row r="9" spans="2:7">
      <c r="B9" s="44" t="s">
        <v>230</v>
      </c>
      <c r="C9" s="1"/>
      <c r="D9" s="1"/>
      <c r="E9" s="1"/>
      <c r="F9" s="93"/>
      <c r="G9" s="94"/>
    </row>
    <row r="10" spans="2:7" ht="15" thickBot="1">
      <c r="B10" s="97" t="s">
        <v>231</v>
      </c>
      <c r="C10" s="98"/>
      <c r="D10" s="98"/>
      <c r="E10" s="45"/>
      <c r="F10" s="95"/>
      <c r="G10" s="96"/>
    </row>
    <row r="11" spans="2:7" ht="28.15" customHeight="1" thickBot="1">
      <c r="B11" s="49" t="s">
        <v>232</v>
      </c>
      <c r="C11" s="78" t="s">
        <v>233</v>
      </c>
      <c r="D11" s="47" t="s">
        <v>15</v>
      </c>
      <c r="E11" s="48"/>
      <c r="F11" s="49" t="s">
        <v>234</v>
      </c>
      <c r="G11" s="46" t="s">
        <v>235</v>
      </c>
    </row>
    <row r="12" spans="2:7" ht="21" customHeight="1">
      <c r="B12" s="79">
        <v>1</v>
      </c>
      <c r="C12" s="50"/>
      <c r="D12" s="51" t="s">
        <v>54</v>
      </c>
      <c r="E12" s="52"/>
      <c r="F12" s="50"/>
      <c r="G12" s="53"/>
    </row>
    <row r="13" spans="2:7" ht="45" customHeight="1">
      <c r="B13" s="80">
        <v>1.1000000000000001</v>
      </c>
      <c r="C13" s="3"/>
      <c r="D13" s="54" t="s">
        <v>55</v>
      </c>
      <c r="E13" s="55"/>
      <c r="F13" s="3" t="str">
        <f>VLOOKUP($D$7,'Source Data'!$A$2:$EU$28,3,FALSE)</f>
        <v>xxxxxxxxxxx</v>
      </c>
      <c r="G13" s="4"/>
    </row>
    <row r="14" spans="2:7" ht="45" customHeight="1">
      <c r="B14" s="80">
        <v>1.2000000000000002</v>
      </c>
      <c r="C14" s="3"/>
      <c r="D14" s="54" t="s">
        <v>56</v>
      </c>
      <c r="E14" s="55"/>
      <c r="F14" s="3" t="str">
        <f>VLOOKUP($D$7,'Source Data'!$A$2:$EU$28,4,FALSE)</f>
        <v>xxxxxxxxxxx</v>
      </c>
      <c r="G14" s="4"/>
    </row>
    <row r="15" spans="2:7" ht="45" customHeight="1">
      <c r="B15" s="80">
        <v>1.3</v>
      </c>
      <c r="C15" s="3"/>
      <c r="D15" s="54" t="s">
        <v>58</v>
      </c>
      <c r="E15" s="55"/>
      <c r="F15" s="3" t="str">
        <f>VLOOKUP($D$7,'Source Data'!$A$2:$EU$28,6,FALSE)</f>
        <v>xxxxxxxxxxx</v>
      </c>
      <c r="G15" s="4"/>
    </row>
    <row r="16" spans="2:7" ht="45" customHeight="1">
      <c r="B16" s="80">
        <v>1.4</v>
      </c>
      <c r="C16" s="3"/>
      <c r="D16" s="54" t="s">
        <v>236</v>
      </c>
      <c r="E16" s="55"/>
      <c r="F16" s="3" t="str">
        <f>VLOOKUP($D$7,'Source Data'!$A$2:$EU$28,7,FALSE)</f>
        <v>xxxxxxxxxxx</v>
      </c>
      <c r="G16" s="4"/>
    </row>
    <row r="17" spans="2:7" ht="45" customHeight="1">
      <c r="B17" s="80">
        <v>1.5</v>
      </c>
      <c r="C17" s="3"/>
      <c r="D17" s="54" t="s">
        <v>237</v>
      </c>
      <c r="E17" s="55"/>
      <c r="F17" s="3" t="str">
        <f>VLOOKUP($D$7,'Source Data'!$A$2:$EU$28,8,FALSE)</f>
        <v>xxxxxxxxxxx</v>
      </c>
      <c r="G17" s="4"/>
    </row>
    <row r="18" spans="2:7" ht="45" customHeight="1">
      <c r="B18" s="80">
        <v>1.6</v>
      </c>
      <c r="C18" s="3"/>
      <c r="D18" s="54" t="s">
        <v>61</v>
      </c>
      <c r="E18" s="55"/>
      <c r="F18" s="3" t="str">
        <f>VLOOKUP($D$7,'Source Data'!$A$2:$EU$28,9,FALSE)</f>
        <v>Ester Oil</v>
      </c>
      <c r="G18" s="4"/>
    </row>
    <row r="19" spans="2:7" ht="24.6" customHeight="1">
      <c r="B19" s="81">
        <v>2</v>
      </c>
      <c r="C19" s="3" t="s">
        <v>238</v>
      </c>
      <c r="D19" s="56" t="s">
        <v>62</v>
      </c>
      <c r="E19" s="55"/>
      <c r="F19" s="3"/>
      <c r="G19" s="4"/>
    </row>
    <row r="20" spans="2:7" ht="45" customHeight="1">
      <c r="B20" s="80">
        <v>2.1</v>
      </c>
      <c r="C20" s="3"/>
      <c r="D20" s="54" t="s">
        <v>63</v>
      </c>
      <c r="E20" s="55" t="s">
        <v>239</v>
      </c>
      <c r="F20" s="3">
        <f>VLOOKUP($D$7,'Source Data'!$A$2:$EU$28,11,FALSE)</f>
        <v>100</v>
      </c>
      <c r="G20" s="4"/>
    </row>
    <row r="21" spans="2:7" ht="45" customHeight="1">
      <c r="B21" s="80">
        <v>2.2000000000000002</v>
      </c>
      <c r="C21" s="3"/>
      <c r="D21" s="54" t="s">
        <v>64</v>
      </c>
      <c r="E21" s="55" t="s">
        <v>240</v>
      </c>
      <c r="F21" s="3">
        <f>VLOOKUP($D$7,'Source Data'!$A$2:$EU$28,12,FALSE)</f>
        <v>11</v>
      </c>
      <c r="G21" s="4"/>
    </row>
    <row r="22" spans="2:7" ht="45" customHeight="1">
      <c r="B22" s="80">
        <v>2.3000000000000003</v>
      </c>
      <c r="C22" s="3"/>
      <c r="D22" s="54" t="s">
        <v>241</v>
      </c>
      <c r="E22" s="55" t="s">
        <v>240</v>
      </c>
      <c r="F22" s="3">
        <f>VLOOKUP($D$7,'Source Data'!$A$2:$EU$28,13,FALSE)</f>
        <v>19</v>
      </c>
      <c r="G22" s="4"/>
    </row>
    <row r="23" spans="2:7" ht="45" customHeight="1">
      <c r="B23" s="80">
        <v>2.4000000000000004</v>
      </c>
      <c r="C23" s="3"/>
      <c r="D23" s="54" t="s">
        <v>66</v>
      </c>
      <c r="E23" s="55" t="s">
        <v>242</v>
      </c>
      <c r="F23" s="3">
        <f>VLOOKUP($D$7,'Source Data'!$A$2:$EU$28,14,FALSE)</f>
        <v>50</v>
      </c>
      <c r="G23" s="4"/>
    </row>
    <row r="24" spans="2:7" ht="45" customHeight="1">
      <c r="B24" s="80">
        <v>2.5</v>
      </c>
      <c r="C24" s="3"/>
      <c r="D24" s="54" t="s">
        <v>67</v>
      </c>
      <c r="E24" s="55"/>
      <c r="F24" s="3" t="str">
        <f>VLOOKUP($D$7,'Source Data'!$A$2:$EU$28,15,FALSE)</f>
        <v>1ph</v>
      </c>
      <c r="G24" s="4"/>
    </row>
    <row r="25" spans="2:7" ht="45" customHeight="1">
      <c r="B25" s="80">
        <v>2.6</v>
      </c>
      <c r="C25" s="3"/>
      <c r="D25" s="54" t="s">
        <v>68</v>
      </c>
      <c r="E25" s="55"/>
      <c r="F25" s="3" t="str">
        <f>VLOOKUP($D$7,'Source Data'!$A$2:$EU$28,16,FALSE)</f>
        <v>N/A</v>
      </c>
      <c r="G25" s="4" t="s">
        <v>178</v>
      </c>
    </row>
    <row r="26" spans="2:7" ht="24.6" customHeight="1">
      <c r="B26" s="81">
        <v>3</v>
      </c>
      <c r="C26" s="3" t="s">
        <v>243</v>
      </c>
      <c r="D26" s="56" t="s">
        <v>69</v>
      </c>
      <c r="E26" s="55"/>
      <c r="F26" s="3"/>
      <c r="G26" s="4"/>
    </row>
    <row r="27" spans="2:7" ht="45" customHeight="1">
      <c r="B27" s="80">
        <v>3.1</v>
      </c>
      <c r="C27" s="3"/>
      <c r="D27" s="54" t="s">
        <v>70</v>
      </c>
      <c r="E27" s="55" t="s">
        <v>240</v>
      </c>
      <c r="F27" s="3">
        <f>VLOOKUP($D$7,'Source Data'!$A$2:$EU$28,18,FALSE)</f>
        <v>95</v>
      </c>
      <c r="G27" s="4"/>
    </row>
    <row r="28" spans="2:7" ht="45" customHeight="1">
      <c r="B28" s="80">
        <v>3.2</v>
      </c>
      <c r="C28" s="3"/>
      <c r="D28" s="54" t="s">
        <v>71</v>
      </c>
      <c r="E28" s="55" t="s">
        <v>240</v>
      </c>
      <c r="F28" s="3">
        <f>VLOOKUP($D$7,'Source Data'!$A$2:$EU$28,19,FALSE)</f>
        <v>200</v>
      </c>
      <c r="G28" s="4"/>
    </row>
    <row r="29" spans="2:7" ht="45" customHeight="1">
      <c r="B29" s="80">
        <v>3.3</v>
      </c>
      <c r="C29" s="3"/>
      <c r="D29" s="54" t="s">
        <v>72</v>
      </c>
      <c r="E29" s="55" t="s">
        <v>240</v>
      </c>
      <c r="F29" s="3">
        <f>VLOOKUP($D$7,'Source Data'!$A$2:$EU$28,20,FALSE)</f>
        <v>30</v>
      </c>
      <c r="G29" s="4"/>
    </row>
    <row r="30" spans="2:7" ht="45" customHeight="1">
      <c r="B30" s="80">
        <v>3.4</v>
      </c>
      <c r="C30" s="3"/>
      <c r="D30" s="54" t="s">
        <v>73</v>
      </c>
      <c r="E30" s="55" t="s">
        <v>240</v>
      </c>
      <c r="F30" s="3">
        <f>VLOOKUP($D$7,'Source Data'!$A$2:$EU$28,21,FALSE)</f>
        <v>28</v>
      </c>
      <c r="G30" s="4"/>
    </row>
    <row r="31" spans="2:7" ht="45" customHeight="1">
      <c r="B31" s="80">
        <v>3.5</v>
      </c>
      <c r="C31" s="3"/>
      <c r="D31" s="54" t="s">
        <v>74</v>
      </c>
      <c r="E31" s="55" t="s">
        <v>240</v>
      </c>
      <c r="F31" s="3">
        <f>VLOOKUP($D$7,'Source Data'!$A$2:$EU$28,22,FALSE)</f>
        <v>8</v>
      </c>
      <c r="G31" s="4"/>
    </row>
    <row r="32" spans="2:7" ht="33" customHeight="1">
      <c r="B32" s="81">
        <v>4</v>
      </c>
      <c r="C32" s="3" t="s">
        <v>244</v>
      </c>
      <c r="D32" s="56" t="s">
        <v>75</v>
      </c>
      <c r="E32" s="55"/>
      <c r="F32" s="3"/>
      <c r="G32" s="4"/>
    </row>
    <row r="33" spans="2:7" ht="45" customHeight="1">
      <c r="B33" s="80">
        <v>4.0999999999999996</v>
      </c>
      <c r="C33" s="3"/>
      <c r="D33" s="54" t="s">
        <v>76</v>
      </c>
      <c r="E33" s="55"/>
      <c r="F33" s="3" t="str">
        <f>VLOOKUP($D$7,'Source Data'!$A$2:$EU$28,24,FALSE)</f>
        <v>xxxxxxxxxxx</v>
      </c>
      <c r="G33" s="4"/>
    </row>
    <row r="34" spans="2:7" ht="45" customHeight="1">
      <c r="B34" s="80">
        <v>4.1999999999999993</v>
      </c>
      <c r="C34" s="3"/>
      <c r="D34" s="54" t="s">
        <v>77</v>
      </c>
      <c r="E34" s="55"/>
      <c r="F34" s="3" t="str">
        <f>VLOOKUP($D$7,'Source Data'!$A$2:$EU$28,25,FALSE)</f>
        <v>Grade 3</v>
      </c>
      <c r="G34" s="4"/>
    </row>
    <row r="35" spans="2:7" ht="45" customHeight="1">
      <c r="B35" s="80">
        <v>4.3</v>
      </c>
      <c r="C35" s="3"/>
      <c r="D35" s="54" t="s">
        <v>78</v>
      </c>
      <c r="E35" s="55" t="s">
        <v>245</v>
      </c>
      <c r="F35" s="3" t="str">
        <f>VLOOKUP($D$7,'Source Data'!$A$2:$EU$28,26,FALSE)</f>
        <v>&gt; 0.125</v>
      </c>
      <c r="G35" s="4"/>
    </row>
    <row r="36" spans="2:7" ht="45" customHeight="1">
      <c r="B36" s="80">
        <v>4.3999999999999995</v>
      </c>
      <c r="C36" s="3"/>
      <c r="D36" s="54" t="s">
        <v>79</v>
      </c>
      <c r="E36" s="55"/>
      <c r="F36" s="3" t="str">
        <f>VLOOKUP($D$7,'Source Data'!$A$2:$EU$28,27,FALSE)</f>
        <v>xxxxxxxxxxx</v>
      </c>
      <c r="G36" s="4"/>
    </row>
    <row r="37" spans="2:7" ht="45" customHeight="1">
      <c r="B37" s="80">
        <v>4.5</v>
      </c>
      <c r="C37" s="3"/>
      <c r="D37" s="54" t="s">
        <v>80</v>
      </c>
      <c r="E37" s="55"/>
      <c r="F37" s="3" t="str">
        <f>VLOOKUP($D$7,'Source Data'!$A$2:$EU$28,28,FALSE)</f>
        <v>xxxxxxxxxxx</v>
      </c>
      <c r="G37" s="4"/>
    </row>
    <row r="38" spans="2:7" ht="45" customHeight="1">
      <c r="B38" s="80">
        <v>4.5999999999999996</v>
      </c>
      <c r="C38" s="3"/>
      <c r="D38" s="54" t="s">
        <v>81</v>
      </c>
      <c r="E38" s="55" t="s">
        <v>240</v>
      </c>
      <c r="F38" s="3">
        <f>VLOOKUP($D$7,'Source Data'!$A$2:$EU$28,29,FALSE)</f>
        <v>21</v>
      </c>
      <c r="G38" s="4"/>
    </row>
    <row r="39" spans="2:7" ht="45" customHeight="1">
      <c r="B39" s="80">
        <v>4.7</v>
      </c>
      <c r="C39" s="3"/>
      <c r="D39" s="54" t="s">
        <v>82</v>
      </c>
      <c r="E39" s="55" t="s">
        <v>240</v>
      </c>
      <c r="F39" s="3">
        <f>VLOOKUP($D$7,'Source Data'!$A$2:$EU$28,30,FALSE)</f>
        <v>8</v>
      </c>
      <c r="G39" s="4"/>
    </row>
    <row r="40" spans="2:7" ht="45" customHeight="1">
      <c r="B40" s="80">
        <v>4.8</v>
      </c>
      <c r="C40" s="3"/>
      <c r="D40" s="54" t="s">
        <v>246</v>
      </c>
      <c r="E40" s="55" t="s">
        <v>247</v>
      </c>
      <c r="F40" s="3" t="str">
        <f>VLOOKUP($D$7,'Source Data'!$A$2:$EU$28,31,FALSE)</f>
        <v>&lt;5</v>
      </c>
      <c r="G40" s="4"/>
    </row>
    <row r="41" spans="2:7" ht="45" customHeight="1">
      <c r="B41" s="81">
        <v>5</v>
      </c>
      <c r="C41" s="3" t="s">
        <v>248</v>
      </c>
      <c r="D41" s="56" t="s">
        <v>84</v>
      </c>
      <c r="E41" s="55"/>
      <c r="F41" s="3"/>
      <c r="G41" s="4"/>
    </row>
    <row r="42" spans="2:7" ht="45" customHeight="1">
      <c r="B42" s="80">
        <v>5.0999999999999996</v>
      </c>
      <c r="C42" s="3"/>
      <c r="D42" s="54" t="s">
        <v>85</v>
      </c>
      <c r="E42" s="55" t="s">
        <v>247</v>
      </c>
      <c r="F42" s="3" t="str">
        <f>VLOOKUP($D$7,'Source Data'!$A$2:$EU$28,33,FALSE)</f>
        <v>&lt; 5</v>
      </c>
      <c r="G42" s="4"/>
    </row>
    <row r="43" spans="2:7" ht="45" customHeight="1">
      <c r="B43" s="80">
        <v>5.1999999999999993</v>
      </c>
      <c r="C43" s="3"/>
      <c r="D43" s="54" t="s">
        <v>86</v>
      </c>
      <c r="E43" s="55" t="s">
        <v>247</v>
      </c>
      <c r="F43" s="3" t="str">
        <f>VLOOKUP($D$7,'Source Data'!$A$2:$EU$28,34,FALSE)</f>
        <v xml:space="preserve">&lt; 5 </v>
      </c>
      <c r="G43" s="4"/>
    </row>
    <row r="44" spans="2:7" ht="45" customHeight="1">
      <c r="B44" s="80">
        <v>5.3</v>
      </c>
      <c r="C44" s="3"/>
      <c r="D44" s="54" t="s">
        <v>87</v>
      </c>
      <c r="E44" s="55"/>
      <c r="F44" s="3" t="str">
        <f>VLOOKUP($D$7,'Source Data'!$A$2:$EU$28,35,FALSE)</f>
        <v>xxxxxxxxxxx</v>
      </c>
      <c r="G44" s="4"/>
    </row>
    <row r="45" spans="2:7" ht="45" customHeight="1">
      <c r="B45" s="80">
        <v>5.3999999999999995</v>
      </c>
      <c r="C45" s="3"/>
      <c r="D45" s="54" t="s">
        <v>88</v>
      </c>
      <c r="E45" s="55"/>
      <c r="F45" s="3" t="str">
        <f>VLOOKUP($D$7,'Source Data'!$A$2:$EU$28,36,FALSE)</f>
        <v>xxxxxxxxxxx</v>
      </c>
      <c r="G45" s="4"/>
    </row>
    <row r="46" spans="2:7" ht="27" customHeight="1">
      <c r="B46" s="81">
        <v>6</v>
      </c>
      <c r="C46" s="3" t="s">
        <v>249</v>
      </c>
      <c r="D46" s="56" t="s">
        <v>89</v>
      </c>
      <c r="E46" s="55"/>
      <c r="F46" s="3"/>
      <c r="G46" s="4"/>
    </row>
    <row r="47" spans="2:7" ht="45" customHeight="1">
      <c r="B47" s="80">
        <v>6.1</v>
      </c>
      <c r="C47" s="3"/>
      <c r="D47" s="54" t="s">
        <v>90</v>
      </c>
      <c r="E47" s="55"/>
      <c r="F47" s="3" t="str">
        <f>VLOOKUP($D$7,'Source Data'!$A$2:$EU$28,38,FALSE)</f>
        <v>xxxxxxxxxxx</v>
      </c>
      <c r="G47" s="4" t="s">
        <v>178</v>
      </c>
    </row>
    <row r="48" spans="2:7" ht="31.15" customHeight="1">
      <c r="B48" s="81">
        <v>7</v>
      </c>
      <c r="C48" s="3" t="s">
        <v>250</v>
      </c>
      <c r="D48" s="56" t="s">
        <v>100</v>
      </c>
      <c r="E48" s="55"/>
      <c r="F48" s="3"/>
      <c r="G48" s="4"/>
    </row>
    <row r="49" spans="2:7" ht="45" customHeight="1">
      <c r="B49" s="80">
        <v>7.1</v>
      </c>
      <c r="C49" s="3"/>
      <c r="D49" s="54" t="s">
        <v>93</v>
      </c>
      <c r="E49" s="55"/>
      <c r="F49" s="3" t="str">
        <f>VLOOKUP($D$7,'Source Data'!$A$2:$EU$28,49,FALSE)</f>
        <v>xxxxxxxxxxx</v>
      </c>
      <c r="G49" s="4"/>
    </row>
    <row r="50" spans="2:7" ht="45" customHeight="1">
      <c r="B50" s="80">
        <v>7.2</v>
      </c>
      <c r="C50" s="3"/>
      <c r="D50" s="54" t="s">
        <v>94</v>
      </c>
      <c r="E50" s="55"/>
      <c r="F50" s="3" t="str">
        <f>VLOOKUP($D$7,'Source Data'!$A$2:$EU$28,50,FALSE)</f>
        <v>xxxxxxxxxxx</v>
      </c>
      <c r="G50" s="4"/>
    </row>
    <row r="51" spans="2:7" ht="45" customHeight="1">
      <c r="B51" s="80">
        <v>7.3</v>
      </c>
      <c r="C51" s="3"/>
      <c r="D51" s="54" t="s">
        <v>95</v>
      </c>
      <c r="E51" s="55"/>
      <c r="F51" s="3" t="str">
        <f>VLOOKUP($D$7,'Source Data'!$A$2:$EU$28,51,FALSE)</f>
        <v>xxxxxxxxxxx</v>
      </c>
      <c r="G51" s="4"/>
    </row>
    <row r="52" spans="2:7" ht="45" customHeight="1">
      <c r="B52" s="80">
        <v>7.4</v>
      </c>
      <c r="C52" s="3"/>
      <c r="D52" s="54" t="s">
        <v>96</v>
      </c>
      <c r="E52" s="55" t="s">
        <v>251</v>
      </c>
      <c r="F52" s="3" t="str">
        <f>VLOOKUP($D$7,'Source Data'!$A$2:$EU$28,52,FALSE)</f>
        <v>≥ 31</v>
      </c>
      <c r="G52" s="4"/>
    </row>
    <row r="53" spans="2:7" ht="45" customHeight="1">
      <c r="B53" s="80">
        <v>7.5</v>
      </c>
      <c r="C53" s="3"/>
      <c r="D53" s="54" t="s">
        <v>97</v>
      </c>
      <c r="E53" s="55"/>
      <c r="F53" s="3" t="str">
        <f>VLOOKUP($D$7,'Source Data'!$A$2:$EU$28,53,FALSE)</f>
        <v>Base</v>
      </c>
      <c r="G53" s="4"/>
    </row>
    <row r="54" spans="2:7" ht="45" customHeight="1">
      <c r="B54" s="80">
        <v>7.6</v>
      </c>
      <c r="C54" s="3"/>
      <c r="D54" s="54" t="s">
        <v>98</v>
      </c>
      <c r="E54" s="55"/>
      <c r="F54" s="3" t="str">
        <f>VLOOKUP($D$7,'Source Data'!$A$2:$EU$28,54,FALSE)</f>
        <v>Draw lead</v>
      </c>
      <c r="G54" s="4"/>
    </row>
    <row r="55" spans="2:7" ht="45" customHeight="1">
      <c r="B55" s="80">
        <v>7.7</v>
      </c>
      <c r="C55" s="3"/>
      <c r="D55" s="54" t="s">
        <v>99</v>
      </c>
      <c r="E55" s="55"/>
      <c r="F55" s="3" t="str">
        <f>VLOOKUP($D$7,'Source Data'!$A$2:$EU$28,55,FALSE)</f>
        <v>M12</v>
      </c>
      <c r="G55" s="4"/>
    </row>
    <row r="56" spans="2:7" ht="45" customHeight="1">
      <c r="B56" s="80">
        <v>7.8</v>
      </c>
      <c r="C56" s="3" t="s">
        <v>250</v>
      </c>
      <c r="D56" s="56" t="s">
        <v>101</v>
      </c>
      <c r="E56" s="55"/>
      <c r="F56" s="3"/>
      <c r="G56" s="4"/>
    </row>
    <row r="57" spans="2:7" ht="45" customHeight="1">
      <c r="B57" s="80">
        <v>7.9</v>
      </c>
      <c r="C57" s="3"/>
      <c r="D57" s="2" t="s">
        <v>93</v>
      </c>
      <c r="E57" s="55"/>
      <c r="F57" s="3" t="str">
        <f>VLOOKUP($D$7,'Source Data'!$A$2:$EU$28,57,FALSE)</f>
        <v>xxxxxxxxxxx</v>
      </c>
      <c r="G57" s="4"/>
    </row>
    <row r="58" spans="2:7" ht="45" customHeight="1">
      <c r="B58" s="82" t="s">
        <v>252</v>
      </c>
      <c r="C58" s="3"/>
      <c r="D58" s="2" t="s">
        <v>94</v>
      </c>
      <c r="E58" s="55"/>
      <c r="F58" s="3" t="str">
        <f>VLOOKUP($D$7,'Source Data'!$A$2:$EU$28,58,FALSE)</f>
        <v>xxxxxxxxxxx</v>
      </c>
      <c r="G58" s="4"/>
    </row>
    <row r="59" spans="2:7" ht="45" customHeight="1">
      <c r="B59" s="82" t="s">
        <v>253</v>
      </c>
      <c r="C59" s="3"/>
      <c r="D59" s="2" t="s">
        <v>95</v>
      </c>
      <c r="E59" s="55"/>
      <c r="F59" s="3" t="str">
        <f>VLOOKUP($D$7,'Source Data'!$A$2:$EU$28,59,FALSE)</f>
        <v>xxxxxxxxxxx</v>
      </c>
      <c r="G59" s="4"/>
    </row>
    <row r="60" spans="2:7" ht="45" customHeight="1">
      <c r="B60" s="82" t="s">
        <v>254</v>
      </c>
      <c r="C60" s="3"/>
      <c r="D60" s="2" t="s">
        <v>96</v>
      </c>
      <c r="E60" s="55"/>
      <c r="F60" s="3" t="str">
        <f>VLOOKUP($D$7,'Source Data'!$A$2:$EU$28,60,FALSE)</f>
        <v>≥ 31</v>
      </c>
      <c r="G60" s="4"/>
    </row>
    <row r="61" spans="2:7" ht="45" customHeight="1">
      <c r="B61" s="82" t="s">
        <v>255</v>
      </c>
      <c r="C61" s="3"/>
      <c r="D61" s="2" t="s">
        <v>97</v>
      </c>
      <c r="E61" s="55"/>
      <c r="F61" s="3" t="str">
        <f>VLOOKUP($D$7,'Source Data'!$A$2:$EU$28,61,FALSE)</f>
        <v>Base</v>
      </c>
      <c r="G61" s="4"/>
    </row>
    <row r="62" spans="2:7" ht="45" customHeight="1">
      <c r="B62" s="82" t="s">
        <v>256</v>
      </c>
      <c r="C62" s="3"/>
      <c r="D62" s="2" t="s">
        <v>98</v>
      </c>
      <c r="E62" s="55"/>
      <c r="F62" s="3" t="str">
        <f>VLOOKUP($D$7,'Source Data'!$A$2:$EU$28,62,FALSE)</f>
        <v>Draw lead</v>
      </c>
      <c r="G62" s="4"/>
    </row>
    <row r="63" spans="2:7" ht="45" customHeight="1">
      <c r="B63" s="82" t="s">
        <v>257</v>
      </c>
      <c r="C63" s="3"/>
      <c r="D63" s="2" t="s">
        <v>99</v>
      </c>
      <c r="E63" s="55"/>
      <c r="F63" s="3" t="str">
        <f>VLOOKUP($D$7,'Source Data'!$A$2:$EU$28,63,FALSE)</f>
        <v>M12</v>
      </c>
      <c r="G63" s="4"/>
    </row>
    <row r="64" spans="2:7" ht="15.6">
      <c r="B64" s="81">
        <v>8</v>
      </c>
      <c r="C64" s="3" t="s">
        <v>250</v>
      </c>
      <c r="D64" s="56" t="s">
        <v>102</v>
      </c>
      <c r="E64" s="55"/>
      <c r="F64" s="3"/>
      <c r="G64" s="4"/>
    </row>
    <row r="65" spans="2:7" ht="45" customHeight="1">
      <c r="B65" s="80">
        <v>8.1</v>
      </c>
      <c r="C65" s="3"/>
      <c r="D65" s="54" t="s">
        <v>93</v>
      </c>
      <c r="E65" s="55"/>
      <c r="F65" s="3" t="str">
        <f>VLOOKUP($D$7,'Source Data'!$A$2:$EU$28,65,FALSE)</f>
        <v>xxxxxxxxxxx</v>
      </c>
      <c r="G65" s="4"/>
    </row>
    <row r="66" spans="2:7" ht="45" customHeight="1">
      <c r="B66" s="80">
        <v>8.1999999999999993</v>
      </c>
      <c r="C66" s="3"/>
      <c r="D66" s="54" t="s">
        <v>94</v>
      </c>
      <c r="E66" s="55"/>
      <c r="F66" s="3" t="str">
        <f>VLOOKUP($D$7,'Source Data'!$A$2:$EU$28,66,FALSE)</f>
        <v>xxxxxxxxxxx</v>
      </c>
      <c r="G66" s="4"/>
    </row>
    <row r="67" spans="2:7" ht="45" customHeight="1">
      <c r="B67" s="80">
        <v>8.3000000000000007</v>
      </c>
      <c r="C67" s="3"/>
      <c r="D67" s="54" t="s">
        <v>95</v>
      </c>
      <c r="E67" s="55"/>
      <c r="F67" s="3" t="str">
        <f>VLOOKUP($D$7,'Source Data'!$A$2:$EU$28,67,FALSE)</f>
        <v>xxxxxxxxxxx</v>
      </c>
      <c r="G67" s="4"/>
    </row>
    <row r="68" spans="2:7" ht="45" customHeight="1">
      <c r="B68" s="80">
        <v>8.4</v>
      </c>
      <c r="C68" s="3"/>
      <c r="D68" s="54" t="s">
        <v>99</v>
      </c>
      <c r="E68" s="55"/>
      <c r="F68" s="3" t="str">
        <f>VLOOKUP($D$7,'Source Data'!$A$2:$EU$28,68,FALSE)</f>
        <v>M12</v>
      </c>
      <c r="G68" s="4"/>
    </row>
    <row r="69" spans="2:7" ht="28.15" customHeight="1">
      <c r="B69" s="81">
        <v>9</v>
      </c>
      <c r="C69" s="3" t="s">
        <v>258</v>
      </c>
      <c r="D69" s="56" t="s">
        <v>105</v>
      </c>
      <c r="E69" s="55"/>
      <c r="F69" s="3"/>
      <c r="G69" s="4"/>
    </row>
    <row r="70" spans="2:7" ht="45" customHeight="1">
      <c r="B70" s="80">
        <v>9.1</v>
      </c>
      <c r="C70" s="3"/>
      <c r="D70" s="54" t="s">
        <v>106</v>
      </c>
      <c r="E70" s="55"/>
      <c r="F70" s="3" t="str">
        <f>VLOOKUP($D$7,'Source Data'!$A$2:$EU$28,72,FALSE)</f>
        <v>Distribution</v>
      </c>
      <c r="G70" s="4" t="s">
        <v>178</v>
      </c>
    </row>
    <row r="71" spans="2:7" ht="45" customHeight="1">
      <c r="B71" s="80">
        <v>9.1999999999999993</v>
      </c>
      <c r="C71" s="3"/>
      <c r="D71" s="54" t="s">
        <v>107</v>
      </c>
      <c r="E71" s="55" t="s">
        <v>259</v>
      </c>
      <c r="F71" s="3">
        <f>VLOOKUP($D$7,'Source Data'!$A$2:$EU$28,73,FALSE)</f>
        <v>80500</v>
      </c>
      <c r="G71" s="4" t="s">
        <v>178</v>
      </c>
    </row>
    <row r="72" spans="2:7" ht="45" customHeight="1">
      <c r="B72" s="80">
        <v>9.3000000000000007</v>
      </c>
      <c r="C72" s="3"/>
      <c r="D72" s="54" t="s">
        <v>108</v>
      </c>
      <c r="E72" s="55" t="s">
        <v>259</v>
      </c>
      <c r="F72" s="3">
        <f>VLOOKUP($D$7,'Source Data'!$A$2:$EU$28,74,FALSE)</f>
        <v>17500</v>
      </c>
      <c r="G72" s="4" t="s">
        <v>178</v>
      </c>
    </row>
    <row r="73" spans="2:7" ht="45" customHeight="1">
      <c r="B73" s="80">
        <v>9.4</v>
      </c>
      <c r="C73" s="3"/>
      <c r="D73" s="54" t="s">
        <v>260</v>
      </c>
      <c r="E73" s="55" t="s">
        <v>261</v>
      </c>
      <c r="F73" s="3">
        <f>VLOOKUP($D$7,'Source Data'!$A$2:$EU$28,75,FALSE)</f>
        <v>190</v>
      </c>
      <c r="G73" s="4"/>
    </row>
    <row r="74" spans="2:7" ht="45" customHeight="1">
      <c r="B74" s="80">
        <v>9.5</v>
      </c>
      <c r="C74" s="3"/>
      <c r="D74" s="54" t="s">
        <v>262</v>
      </c>
      <c r="E74" s="55" t="s">
        <v>261</v>
      </c>
      <c r="F74" s="3">
        <f>VLOOKUP($D$7,'Source Data'!$A$2:$EU$28,151,FALSE)</f>
        <v>70</v>
      </c>
      <c r="G74" s="4"/>
    </row>
    <row r="75" spans="2:7" ht="45" customHeight="1">
      <c r="B75" s="80">
        <v>9.6</v>
      </c>
      <c r="C75" s="3"/>
      <c r="D75" s="54" t="s">
        <v>263</v>
      </c>
      <c r="E75" s="55" t="s">
        <v>261</v>
      </c>
      <c r="F75" s="3">
        <f>VLOOKUP($D$7,'Source Data'!$A$2:$EU$28,76,FALSE)</f>
        <v>1500</v>
      </c>
      <c r="G75" s="4"/>
    </row>
    <row r="76" spans="2:7" ht="27" customHeight="1">
      <c r="B76" s="81">
        <v>10</v>
      </c>
      <c r="C76" s="3" t="s">
        <v>258</v>
      </c>
      <c r="D76" s="57" t="s">
        <v>111</v>
      </c>
      <c r="E76" s="55"/>
      <c r="F76" s="3"/>
      <c r="G76" s="4"/>
    </row>
    <row r="77" spans="2:7" ht="45" customHeight="1">
      <c r="B77" s="80">
        <v>10.1</v>
      </c>
      <c r="C77" s="3"/>
      <c r="D77" s="58" t="s">
        <v>112</v>
      </c>
      <c r="E77" s="55" t="s">
        <v>264</v>
      </c>
      <c r="F77" s="59" t="str">
        <f>VLOOKUP($D$7,'Source Data'!$A$2:$EU$28,78,FALSE)</f>
        <v>3,0 to 4,5</v>
      </c>
      <c r="G77" s="4"/>
    </row>
    <row r="78" spans="2:7" ht="45" customHeight="1">
      <c r="B78" s="80">
        <v>10.199999999999999</v>
      </c>
      <c r="C78" s="3"/>
      <c r="D78" s="58" t="s">
        <v>113</v>
      </c>
      <c r="E78" s="55"/>
      <c r="F78" s="59" t="str">
        <f>VLOOKUP($D$7,'Source Data'!$A$2:$EU$28,79,FALSE)</f>
        <v>xxxxxxxxxx</v>
      </c>
      <c r="G78" s="4"/>
    </row>
    <row r="79" spans="2:7" ht="27" customHeight="1">
      <c r="B79" s="81">
        <v>11</v>
      </c>
      <c r="C79" s="3"/>
      <c r="D79" s="117" t="s">
        <v>299</v>
      </c>
      <c r="E79" s="55"/>
      <c r="F79" s="3"/>
      <c r="G79" s="4"/>
    </row>
    <row r="80" spans="2:7" ht="45" customHeight="1">
      <c r="B80" s="80">
        <v>11.1</v>
      </c>
      <c r="C80" s="3"/>
      <c r="D80" s="54" t="s">
        <v>115</v>
      </c>
      <c r="E80" s="55" t="s">
        <v>266</v>
      </c>
      <c r="F80" s="59" t="str">
        <f>VLOOKUP($D$7,'Source Data'!$A$2:$EU$28,81,FALSE)</f>
        <v xml:space="preserve">≤ 48 </v>
      </c>
      <c r="G80" s="4"/>
    </row>
    <row r="81" spans="2:7" ht="22.15" customHeight="1">
      <c r="B81" s="81">
        <v>12</v>
      </c>
      <c r="C81" s="3"/>
      <c r="D81" s="56" t="s">
        <v>267</v>
      </c>
      <c r="E81" s="55"/>
      <c r="F81" s="3"/>
      <c r="G81" s="4"/>
    </row>
    <row r="82" spans="2:7" ht="45" customHeight="1">
      <c r="B82" s="80">
        <v>12.1</v>
      </c>
      <c r="C82" s="3"/>
      <c r="D82" s="54" t="s">
        <v>117</v>
      </c>
      <c r="E82" s="55"/>
      <c r="F82" s="59" t="str">
        <f>VLOOKUP($D$7,'Source Data'!$A$2:$EU$28,83,FALSE)</f>
        <v>xxxxxxxxxxx</v>
      </c>
      <c r="G82" s="4"/>
    </row>
    <row r="83" spans="2:7" ht="45" customHeight="1">
      <c r="B83" s="80">
        <v>12.2</v>
      </c>
      <c r="C83" s="3"/>
      <c r="D83" s="54" t="s">
        <v>118</v>
      </c>
      <c r="E83" s="55"/>
      <c r="F83" s="59" t="str">
        <f>VLOOKUP($D$7,'Source Data'!$A$2:$EU$28,84,FALSE)</f>
        <v>xxxxxxxxxxx</v>
      </c>
      <c r="G83" s="4"/>
    </row>
    <row r="84" spans="2:7" ht="21.6" customHeight="1">
      <c r="B84" s="81">
        <v>13</v>
      </c>
      <c r="C84" s="3"/>
      <c r="D84" s="56" t="s">
        <v>119</v>
      </c>
      <c r="E84" s="55"/>
      <c r="F84" s="3"/>
      <c r="G84" s="4"/>
    </row>
    <row r="85" spans="2:7" ht="45" customHeight="1">
      <c r="B85" s="80">
        <v>13.1</v>
      </c>
      <c r="C85" s="3"/>
      <c r="D85" s="54" t="s">
        <v>117</v>
      </c>
      <c r="E85" s="55"/>
      <c r="F85" s="59" t="str">
        <f>VLOOKUP($D$7,'Source Data'!$A$2:$EU$28,86,FALSE)</f>
        <v>xxxxxxxxxxx</v>
      </c>
      <c r="G85" s="4"/>
    </row>
    <row r="86" spans="2:7" ht="45" customHeight="1">
      <c r="B86" s="80">
        <v>13.2</v>
      </c>
      <c r="C86" s="3"/>
      <c r="D86" s="54" t="s">
        <v>118</v>
      </c>
      <c r="E86" s="55"/>
      <c r="F86" s="59" t="str">
        <f>VLOOKUP($D$7,'Source Data'!$A$2:$EU$28,87,FALSE)</f>
        <v>xxxxxxxxxxx</v>
      </c>
      <c r="G86" s="4"/>
    </row>
    <row r="87" spans="2:7" ht="24.6" customHeight="1">
      <c r="B87" s="81">
        <v>14</v>
      </c>
      <c r="C87" s="3"/>
      <c r="D87" s="56" t="s">
        <v>120</v>
      </c>
      <c r="E87" s="55"/>
      <c r="F87" s="3"/>
      <c r="G87" s="4"/>
    </row>
    <row r="88" spans="2:7" ht="45" customHeight="1">
      <c r="B88" s="80">
        <v>14.1</v>
      </c>
      <c r="C88" s="3"/>
      <c r="D88" s="54" t="s">
        <v>121</v>
      </c>
      <c r="E88" s="55"/>
      <c r="F88" s="59" t="str">
        <f>VLOOKUP($D$7,'Source Data'!$A$2:$EU$28,89,FALSE)</f>
        <v>Steel or Amporphous</v>
      </c>
      <c r="G88" s="4"/>
    </row>
    <row r="89" spans="2:7" ht="45" customHeight="1">
      <c r="B89" s="80">
        <v>14.2</v>
      </c>
      <c r="C89" s="3"/>
      <c r="D89" s="54" t="s">
        <v>122</v>
      </c>
      <c r="E89" s="55"/>
      <c r="F89" s="59" t="str">
        <f>VLOOKUP($D$7,'Source Data'!$A$2:$EU$28,90,FALSE)</f>
        <v>xxxxxxxxxxx</v>
      </c>
      <c r="G89" s="4"/>
    </row>
    <row r="90" spans="2:7" ht="45" customHeight="1">
      <c r="B90" s="80">
        <v>14.3</v>
      </c>
      <c r="C90" s="3"/>
      <c r="D90" s="54" t="s">
        <v>123</v>
      </c>
      <c r="E90" s="55"/>
      <c r="F90" s="59" t="str">
        <f>VLOOKUP($D$7,'Source Data'!$A$2:$EU$28,91,FALSE)</f>
        <v>xxxxxxxxxxx</v>
      </c>
      <c r="G90" s="4"/>
    </row>
    <row r="91" spans="2:7" ht="45" customHeight="1">
      <c r="B91" s="80">
        <v>14.4</v>
      </c>
      <c r="C91" s="3"/>
      <c r="D91" s="54" t="s">
        <v>124</v>
      </c>
      <c r="E91" s="55"/>
      <c r="F91" s="59" t="str">
        <f>VLOOKUP($D$7,'Source Data'!$A$2:$EU$28,92,FALSE)</f>
        <v>xxxxxxxxxxx</v>
      </c>
      <c r="G91" s="4"/>
    </row>
    <row r="92" spans="2:7" ht="23.45" customHeight="1">
      <c r="B92" s="81">
        <v>15</v>
      </c>
      <c r="C92" s="3" t="s">
        <v>268</v>
      </c>
      <c r="D92" s="57" t="s">
        <v>125</v>
      </c>
      <c r="E92" s="55"/>
      <c r="F92" s="59"/>
      <c r="G92" s="4"/>
    </row>
    <row r="93" spans="2:7" ht="45" customHeight="1">
      <c r="B93" s="80">
        <v>15.1</v>
      </c>
      <c r="C93" s="3"/>
      <c r="D93" s="54" t="s">
        <v>126</v>
      </c>
      <c r="E93" s="55"/>
      <c r="F93" s="59" t="str">
        <f>VLOOKUP($D$7,'Source Data'!$A$2:$EU$28,94,FALSE)</f>
        <v>Sealed</v>
      </c>
      <c r="G93" s="4"/>
    </row>
    <row r="94" spans="2:7" ht="45" customHeight="1">
      <c r="B94" s="80">
        <v>15.2</v>
      </c>
      <c r="C94" s="3"/>
      <c r="D94" s="54" t="s">
        <v>127</v>
      </c>
      <c r="E94" s="55"/>
      <c r="F94" s="59" t="str">
        <f>VLOOKUP($D$7,'Source Data'!$A$2:$EU$28,95,FALSE)</f>
        <v>xxxxxxxxxx</v>
      </c>
      <c r="G94" s="4"/>
    </row>
    <row r="95" spans="2:7" ht="21.6" customHeight="1">
      <c r="B95" s="81">
        <v>16</v>
      </c>
      <c r="C95" s="3" t="s">
        <v>269</v>
      </c>
      <c r="D95" s="56" t="s">
        <v>128</v>
      </c>
      <c r="E95" s="55"/>
      <c r="F95" s="59"/>
      <c r="G95" s="4"/>
    </row>
    <row r="96" spans="2:7" ht="40.15" customHeight="1">
      <c r="B96" s="80">
        <v>16.100000000000001</v>
      </c>
      <c r="C96" s="3" t="s">
        <v>270</v>
      </c>
      <c r="D96" s="54" t="s">
        <v>129</v>
      </c>
      <c r="E96" s="55" t="s">
        <v>245</v>
      </c>
      <c r="F96" s="59" t="str">
        <f>VLOOKUP($D$7,'Source Data'!$A$2:$EU$28,97,FALSE)</f>
        <v xml:space="preserve">≤ 1 080 </v>
      </c>
      <c r="G96" s="4"/>
    </row>
    <row r="97" spans="2:7" ht="40.15" customHeight="1">
      <c r="B97" s="80">
        <v>16.2</v>
      </c>
      <c r="C97" s="3" t="s">
        <v>270</v>
      </c>
      <c r="D97" s="54" t="s">
        <v>130</v>
      </c>
      <c r="E97" s="55" t="s">
        <v>245</v>
      </c>
      <c r="F97" s="59" t="str">
        <f>VLOOKUP($D$7,'Source Data'!$A$2:$EU$28,98,FALSE)</f>
        <v xml:space="preserve">≤ 1 500 </v>
      </c>
      <c r="G97" s="4"/>
    </row>
    <row r="98" spans="2:7" ht="40.15" customHeight="1">
      <c r="B98" s="80">
        <v>16.3</v>
      </c>
      <c r="C98" s="3" t="s">
        <v>270</v>
      </c>
      <c r="D98" s="54" t="s">
        <v>131</v>
      </c>
      <c r="E98" s="55" t="s">
        <v>245</v>
      </c>
      <c r="F98" s="59" t="str">
        <f>VLOOKUP($D$7,'Source Data'!$A$2:$EU$28,99,FALSE)</f>
        <v xml:space="preserve">≤ 1 500 </v>
      </c>
      <c r="G98" s="4"/>
    </row>
    <row r="99" spans="2:7" ht="40.15" customHeight="1">
      <c r="B99" s="80">
        <v>16.399999999999999</v>
      </c>
      <c r="C99" s="3" t="s">
        <v>270</v>
      </c>
      <c r="D99" s="54" t="s">
        <v>132</v>
      </c>
      <c r="E99" s="55" t="s">
        <v>271</v>
      </c>
      <c r="F99" s="3" t="str">
        <f>VLOOKUP($D$7,'Source Data'!$A$2:$EU$28,100,FALSE)</f>
        <v xml:space="preserve">≤ 900 </v>
      </c>
      <c r="G99" s="4"/>
    </row>
    <row r="100" spans="2:7" ht="40.15" customHeight="1">
      <c r="B100" s="80">
        <v>16.5</v>
      </c>
      <c r="C100" s="3"/>
      <c r="D100" s="54" t="s">
        <v>133</v>
      </c>
      <c r="E100" s="55" t="s">
        <v>272</v>
      </c>
      <c r="F100" s="3" t="str">
        <f>VLOOKUP($D$7,'Source Data'!$A$2:$EU$28,101,FALSE)</f>
        <v>xxxxxxxxxxx</v>
      </c>
      <c r="G100" s="4"/>
    </row>
    <row r="101" spans="2:7" ht="40.15" customHeight="1">
      <c r="B101" s="80">
        <v>16.600000000000001</v>
      </c>
      <c r="C101" s="3"/>
      <c r="D101" s="54" t="s">
        <v>134</v>
      </c>
      <c r="E101" s="55" t="s">
        <v>245</v>
      </c>
      <c r="F101" s="3">
        <f>VLOOKUP($D$7,'Source Data'!$A$2:$EU$28,102,FALSE)</f>
        <v>190</v>
      </c>
      <c r="G101" s="4"/>
    </row>
    <row r="102" spans="2:7" ht="45" customHeight="1">
      <c r="B102" s="80">
        <v>16.7</v>
      </c>
      <c r="C102" s="3" t="s">
        <v>273</v>
      </c>
      <c r="D102" s="54" t="s">
        <v>135</v>
      </c>
      <c r="E102" s="55" t="s">
        <v>245</v>
      </c>
      <c r="F102" s="3">
        <f>VLOOKUP($D$7,'Source Data'!$A$2:$EU$28,103,FALSE)</f>
        <v>100</v>
      </c>
      <c r="G102" s="4"/>
    </row>
    <row r="103" spans="2:7" ht="25.9" customHeight="1">
      <c r="B103" s="81">
        <v>17</v>
      </c>
      <c r="C103" s="3" t="s">
        <v>273</v>
      </c>
      <c r="D103" s="56" t="s">
        <v>136</v>
      </c>
      <c r="E103" s="55"/>
      <c r="F103" s="3"/>
      <c r="G103" s="4"/>
    </row>
    <row r="104" spans="2:7" ht="45" customHeight="1">
      <c r="B104" s="80">
        <v>17.100000000000001</v>
      </c>
      <c r="C104" s="3"/>
      <c r="D104" s="54" t="s">
        <v>137</v>
      </c>
      <c r="E104" s="55"/>
      <c r="F104" s="3" t="str">
        <f>VLOOKUP($D$7,'Source Data'!$A$2:$EU$28,105,FALSE)</f>
        <v>No</v>
      </c>
      <c r="G104" s="4" t="s">
        <v>178</v>
      </c>
    </row>
    <row r="105" spans="2:7" ht="45" customHeight="1">
      <c r="B105" s="80" t="s">
        <v>274</v>
      </c>
      <c r="C105" s="83"/>
      <c r="D105" s="54" t="s">
        <v>138</v>
      </c>
      <c r="E105" s="55"/>
      <c r="F105" s="3" t="str">
        <f>VLOOKUP($D$7,'Source Data'!$A$2:$EU$28,106,FALSE)</f>
        <v>N/A</v>
      </c>
      <c r="G105" s="4" t="s">
        <v>178</v>
      </c>
    </row>
    <row r="106" spans="2:7" ht="45" customHeight="1">
      <c r="B106" s="80" t="s">
        <v>275</v>
      </c>
      <c r="C106" s="83"/>
      <c r="D106" s="58" t="s">
        <v>139</v>
      </c>
      <c r="E106" s="55"/>
      <c r="F106" s="3" t="str">
        <f>VLOOKUP($D$7,'Source Data'!$A$2:$EU$28,107,FALSE)</f>
        <v>N/A</v>
      </c>
      <c r="G106" s="4" t="s">
        <v>178</v>
      </c>
    </row>
    <row r="107" spans="2:7" ht="45" customHeight="1">
      <c r="B107" s="80" t="s">
        <v>276</v>
      </c>
      <c r="C107" s="83"/>
      <c r="D107" s="58" t="s">
        <v>140</v>
      </c>
      <c r="E107" s="55"/>
      <c r="F107" s="3" t="str">
        <f>VLOOKUP($D$7,'Source Data'!$A$2:$EU$28,108,FALSE)</f>
        <v>N/A</v>
      </c>
      <c r="G107" s="4" t="s">
        <v>178</v>
      </c>
    </row>
    <row r="108" spans="2:7" ht="45" customHeight="1">
      <c r="B108" s="80" t="s">
        <v>277</v>
      </c>
      <c r="C108" s="83"/>
      <c r="D108" s="58" t="s">
        <v>141</v>
      </c>
      <c r="E108" s="55"/>
      <c r="F108" s="3" t="str">
        <f>VLOOKUP($D$7,'Source Data'!$A$2:$EU$28,109,FALSE)</f>
        <v>N/A</v>
      </c>
      <c r="G108" s="4"/>
    </row>
    <row r="109" spans="2:7" ht="45" customHeight="1">
      <c r="B109" s="80">
        <v>17.2</v>
      </c>
      <c r="C109" s="3"/>
      <c r="D109" s="54" t="s">
        <v>142</v>
      </c>
      <c r="E109" s="55" t="s">
        <v>245</v>
      </c>
      <c r="F109" s="3" t="str">
        <f>VLOOKUP($D$7,'Source Data'!$A$2:$EU$28,110,FALSE)</f>
        <v>N/A</v>
      </c>
      <c r="G109" s="4" t="s">
        <v>178</v>
      </c>
    </row>
    <row r="110" spans="2:7" ht="45" customHeight="1">
      <c r="B110" s="80">
        <v>17.3</v>
      </c>
      <c r="C110" s="3"/>
      <c r="D110" s="54" t="s">
        <v>143</v>
      </c>
      <c r="E110" s="55" t="s">
        <v>245</v>
      </c>
      <c r="F110" s="3" t="str">
        <f>VLOOKUP($D$7,'Source Data'!$A$2:$EU$28,111,FALSE)</f>
        <v>N/A</v>
      </c>
      <c r="G110" s="4" t="s">
        <v>178</v>
      </c>
    </row>
    <row r="111" spans="2:7" ht="45" customHeight="1">
      <c r="B111" s="80">
        <v>17.399999999999999</v>
      </c>
      <c r="C111" s="3"/>
      <c r="D111" s="54" t="s">
        <v>144</v>
      </c>
      <c r="E111" s="55" t="s">
        <v>245</v>
      </c>
      <c r="F111" s="3" t="str">
        <f>VLOOKUP($D$7,'Source Data'!$A$2:$EU$28,112,FALSE)</f>
        <v>N/A</v>
      </c>
      <c r="G111" s="4" t="s">
        <v>178</v>
      </c>
    </row>
    <row r="112" spans="2:7" ht="45" customHeight="1">
      <c r="B112" s="80">
        <v>17.5</v>
      </c>
      <c r="C112" s="3"/>
      <c r="D112" s="54" t="s">
        <v>145</v>
      </c>
      <c r="E112" s="55" t="s">
        <v>245</v>
      </c>
      <c r="F112" s="3" t="str">
        <f>VLOOKUP($D$7,'Source Data'!$A$2:$EU$28,113,FALSE)</f>
        <v>N/A</v>
      </c>
      <c r="G112" s="4" t="s">
        <v>178</v>
      </c>
    </row>
    <row r="113" spans="2:7" ht="45" customHeight="1">
      <c r="B113" s="80">
        <v>17.600000000000001</v>
      </c>
      <c r="C113" s="3"/>
      <c r="D113" s="54" t="s">
        <v>146</v>
      </c>
      <c r="E113" s="55" t="s">
        <v>245</v>
      </c>
      <c r="F113" s="3" t="str">
        <f>VLOOKUP($D$7,'Source Data'!$A$2:$EU$28,114,FALSE)</f>
        <v>N/A</v>
      </c>
      <c r="G113" s="4" t="s">
        <v>178</v>
      </c>
    </row>
    <row r="114" spans="2:7" ht="45" customHeight="1">
      <c r="B114" s="81">
        <v>18</v>
      </c>
      <c r="C114" s="3" t="s">
        <v>278</v>
      </c>
      <c r="D114" s="56" t="s">
        <v>147</v>
      </c>
      <c r="E114" s="55"/>
      <c r="F114" s="3"/>
      <c r="G114" s="4"/>
    </row>
    <row r="115" spans="2:7" ht="45" customHeight="1">
      <c r="B115" s="80">
        <v>18.100000000000001</v>
      </c>
      <c r="C115" s="3"/>
      <c r="D115" s="54" t="s">
        <v>148</v>
      </c>
      <c r="E115" s="55"/>
      <c r="F115" s="3" t="str">
        <f>VLOOKUP($D$7,'Source Data'!$A$2:$EU$28,116,FALSE)</f>
        <v>Yes</v>
      </c>
      <c r="G115" s="4" t="s">
        <v>178</v>
      </c>
    </row>
    <row r="116" spans="2:7" ht="45" customHeight="1">
      <c r="B116" s="80">
        <v>18.2</v>
      </c>
      <c r="C116" s="3" t="s">
        <v>279</v>
      </c>
      <c r="D116" s="54" t="s">
        <v>149</v>
      </c>
      <c r="E116" s="55" t="s">
        <v>245</v>
      </c>
      <c r="F116" s="3">
        <f>VLOOKUP($D$7,'Source Data'!$A$2:$EU$28,117,FALSE)</f>
        <v>400</v>
      </c>
      <c r="G116" s="4"/>
    </row>
    <row r="117" spans="2:7" ht="45" customHeight="1">
      <c r="B117" s="80">
        <v>18.3</v>
      </c>
      <c r="C117" s="3" t="s">
        <v>279</v>
      </c>
      <c r="D117" s="54" t="s">
        <v>150</v>
      </c>
      <c r="E117" s="55" t="s">
        <v>245</v>
      </c>
      <c r="F117" s="3" t="str">
        <f>VLOOKUP($D$7,'Source Data'!$A$2:$EU$28,118,FALSE)</f>
        <v>xxxxxxxxxxx</v>
      </c>
      <c r="G117" s="4"/>
    </row>
    <row r="118" spans="2:7" ht="45" customHeight="1">
      <c r="B118" s="80">
        <v>18.399999999999999</v>
      </c>
      <c r="C118" s="3" t="s">
        <v>279</v>
      </c>
      <c r="D118" s="54" t="s">
        <v>151</v>
      </c>
      <c r="E118" s="55" t="s">
        <v>245</v>
      </c>
      <c r="F118" s="3" t="str">
        <f>VLOOKUP($D$7,'Source Data'!$A$2:$EU$28,119,FALSE)</f>
        <v>≥ 320</v>
      </c>
      <c r="G118" s="4"/>
    </row>
    <row r="119" spans="2:7" ht="45" customHeight="1">
      <c r="B119" s="80">
        <v>18.5</v>
      </c>
      <c r="C119" s="3" t="s">
        <v>279</v>
      </c>
      <c r="D119" s="54" t="s">
        <v>152</v>
      </c>
      <c r="E119" s="55" t="s">
        <v>245</v>
      </c>
      <c r="F119" s="3" t="str">
        <f>VLOOKUP($D$7,'Source Data'!$A$2:$EU$28,110,FALSE)</f>
        <v>N/A</v>
      </c>
      <c r="G119" s="4"/>
    </row>
    <row r="120" spans="2:7" ht="45" customHeight="1">
      <c r="B120" s="80">
        <v>18.600000000000001</v>
      </c>
      <c r="C120" s="3" t="s">
        <v>279</v>
      </c>
      <c r="D120" s="54" t="s">
        <v>145</v>
      </c>
      <c r="E120" s="55" t="s">
        <v>245</v>
      </c>
      <c r="F120" s="3" t="str">
        <f>VLOOKUP($D$7,'Source Data'!$A$2:$EU$28,111,FALSE)</f>
        <v>N/A</v>
      </c>
      <c r="G120" s="4"/>
    </row>
    <row r="121" spans="2:7" ht="45" customHeight="1">
      <c r="B121" s="81">
        <v>19</v>
      </c>
      <c r="C121" s="3" t="s">
        <v>280</v>
      </c>
      <c r="D121" s="56" t="s">
        <v>153</v>
      </c>
      <c r="E121" s="55"/>
      <c r="F121" s="3"/>
      <c r="G121" s="4"/>
    </row>
    <row r="122" spans="2:7" ht="45" customHeight="1">
      <c r="B122" s="80">
        <v>19.100000000000001</v>
      </c>
      <c r="C122" s="3"/>
      <c r="D122" s="54" t="s">
        <v>154</v>
      </c>
      <c r="E122" s="55"/>
      <c r="F122" s="3" t="str">
        <f>VLOOKUP($D$7,'Source Data'!$A$2:$EU$28,123,FALSE)</f>
        <v>Yes</v>
      </c>
      <c r="G122" s="4"/>
    </row>
    <row r="123" spans="2:7" ht="45" customHeight="1">
      <c r="B123" s="80">
        <v>19.2</v>
      </c>
      <c r="C123" s="3"/>
      <c r="D123" s="54" t="s">
        <v>155</v>
      </c>
      <c r="E123" s="55" t="s">
        <v>245</v>
      </c>
      <c r="F123" s="3" t="str">
        <f>VLOOKUP($D$7,'Source Data'!$A$2:$EU$28,124,FALSE)</f>
        <v xml:space="preserve">≥ 30 </v>
      </c>
      <c r="G123" s="4"/>
    </row>
    <row r="124" spans="2:7" ht="45" customHeight="1">
      <c r="B124" s="81">
        <v>20</v>
      </c>
      <c r="C124" s="3" t="s">
        <v>281</v>
      </c>
      <c r="D124" s="56" t="s">
        <v>156</v>
      </c>
      <c r="E124" s="55"/>
      <c r="F124" s="3"/>
      <c r="G124" s="4"/>
    </row>
    <row r="125" spans="2:7" ht="45" customHeight="1">
      <c r="B125" s="80">
        <v>20.100000000000001</v>
      </c>
      <c r="C125" s="3"/>
      <c r="D125" s="54" t="s">
        <v>157</v>
      </c>
      <c r="E125" s="55"/>
      <c r="F125" s="3" t="str">
        <f>VLOOKUP($D$7,'Source Data'!$A$2:$EU$28,126,FALSE)</f>
        <v>316 Stainless Steel or Mild Steel</v>
      </c>
      <c r="G125" s="4"/>
    </row>
    <row r="126" spans="2:7" ht="45" customHeight="1">
      <c r="B126" s="80">
        <v>20.2</v>
      </c>
      <c r="C126" s="3"/>
      <c r="D126" s="54" t="s">
        <v>158</v>
      </c>
      <c r="E126" s="55" t="s">
        <v>245</v>
      </c>
      <c r="F126" s="3" t="str">
        <f>VLOOKUP($D$7,'Source Data'!$A$2:$EU$28,127,FALSE)</f>
        <v>≥ 30</v>
      </c>
      <c r="G126" s="4"/>
    </row>
    <row r="127" spans="2:7" ht="45" customHeight="1">
      <c r="B127" s="80">
        <v>20.3</v>
      </c>
      <c r="C127" s="3"/>
      <c r="D127" s="54" t="s">
        <v>159</v>
      </c>
      <c r="E127" s="55"/>
      <c r="F127" s="3" t="str">
        <f>VLOOKUP($D$7,'Source Data'!$A$2:$EU$28,128,FALSE)</f>
        <v>316 Stainless Steel or Mild Steel</v>
      </c>
      <c r="G127" s="4"/>
    </row>
    <row r="128" spans="2:7" ht="45" customHeight="1">
      <c r="B128" s="80">
        <v>20.399999999999999</v>
      </c>
      <c r="C128" s="3"/>
      <c r="D128" s="54" t="s">
        <v>160</v>
      </c>
      <c r="E128" s="55" t="s">
        <v>245</v>
      </c>
      <c r="F128" s="3" t="str">
        <f>VLOOKUP($D$7,'Source Data'!$A$2:$EU$28,129,FALSE)</f>
        <v xml:space="preserve">M12 x 25 </v>
      </c>
      <c r="G128" s="4"/>
    </row>
    <row r="129" spans="2:7" ht="45" customHeight="1">
      <c r="B129" s="80">
        <v>20.5</v>
      </c>
      <c r="C129" s="3"/>
      <c r="D129" s="54" t="s">
        <v>161</v>
      </c>
      <c r="E129" s="55"/>
      <c r="F129" s="3" t="str">
        <f>VLOOKUP($D$7,'Source Data'!$A$2:$EU$28,130,FALSE)</f>
        <v>Yes</v>
      </c>
      <c r="G129" s="4"/>
    </row>
    <row r="130" spans="2:7" ht="45" customHeight="1">
      <c r="B130" s="81">
        <v>21</v>
      </c>
      <c r="C130" s="3" t="s">
        <v>282</v>
      </c>
      <c r="D130" s="56" t="s">
        <v>162</v>
      </c>
      <c r="E130" s="55"/>
      <c r="F130" s="3"/>
      <c r="G130" s="4"/>
    </row>
    <row r="131" spans="2:7" ht="45" customHeight="1">
      <c r="B131" s="80">
        <v>21.1</v>
      </c>
      <c r="C131" s="3"/>
      <c r="D131" s="54" t="s">
        <v>163</v>
      </c>
      <c r="E131" s="55"/>
      <c r="F131" s="3" t="str">
        <f>VLOOKUP($D$7,'Source Data'!$A$2:$EU$28,132,FALSE)</f>
        <v>Yes</v>
      </c>
      <c r="G131" s="4"/>
    </row>
    <row r="132" spans="2:7" ht="45" customHeight="1">
      <c r="B132" s="80">
        <v>21.2</v>
      </c>
      <c r="C132" s="3" t="s">
        <v>283</v>
      </c>
      <c r="D132" s="54" t="s">
        <v>145</v>
      </c>
      <c r="E132" s="55" t="s">
        <v>245</v>
      </c>
      <c r="F132" s="3">
        <f>VLOOKUP($D$7,'Source Data'!$A$2:$EU$28,133,FALSE)</f>
        <v>14</v>
      </c>
      <c r="G132" s="4"/>
    </row>
    <row r="133" spans="2:7" ht="45" customHeight="1">
      <c r="B133" s="80">
        <v>21.3</v>
      </c>
      <c r="C133" s="3" t="s">
        <v>283</v>
      </c>
      <c r="D133" s="54" t="s">
        <v>164</v>
      </c>
      <c r="E133" s="55" t="s">
        <v>245</v>
      </c>
      <c r="F133" s="3" t="str">
        <f>VLOOKUP($D$7,'Source Data'!$A$2:$EU$28,134,FALSE)</f>
        <v>≥ 200</v>
      </c>
      <c r="G133" s="4"/>
    </row>
    <row r="134" spans="2:7" ht="45" customHeight="1">
      <c r="B134" s="80">
        <v>21.4</v>
      </c>
      <c r="C134" s="3" t="s">
        <v>283</v>
      </c>
      <c r="D134" s="54" t="s">
        <v>165</v>
      </c>
      <c r="E134" s="55" t="s">
        <v>245</v>
      </c>
      <c r="F134" s="3" t="str">
        <f>VLOOKUP($D$7,'Source Data'!$A$2:$EU$28,135,FALSE)</f>
        <v>≥ 190</v>
      </c>
      <c r="G134" s="4"/>
    </row>
    <row r="135" spans="2:7" ht="45" customHeight="1">
      <c r="B135" s="80">
        <v>21.5</v>
      </c>
      <c r="C135" s="3" t="s">
        <v>283</v>
      </c>
      <c r="D135" s="54" t="s">
        <v>166</v>
      </c>
      <c r="E135" s="55" t="s">
        <v>245</v>
      </c>
      <c r="F135" s="3" t="str">
        <f>VLOOKUP($D$7,'Source Data'!$A$2:$EU$28,136,FALSE)</f>
        <v>≥ 150</v>
      </c>
      <c r="G135" s="4"/>
    </row>
    <row r="136" spans="2:7" ht="45" customHeight="1">
      <c r="B136" s="81">
        <v>22</v>
      </c>
      <c r="C136" s="60">
        <v>3.4</v>
      </c>
      <c r="D136" s="61" t="s">
        <v>173</v>
      </c>
      <c r="E136" s="62"/>
      <c r="F136" s="60"/>
      <c r="G136" s="63"/>
    </row>
    <row r="137" spans="2:7" ht="45" customHeight="1">
      <c r="B137" s="80">
        <v>22.1</v>
      </c>
      <c r="C137" s="3"/>
      <c r="D137" s="64" t="s">
        <v>174</v>
      </c>
      <c r="E137" s="55"/>
      <c r="F137" s="3"/>
      <c r="G137" s="4"/>
    </row>
    <row r="138" spans="2:7" ht="45" customHeight="1">
      <c r="B138" s="80">
        <v>22.2</v>
      </c>
      <c r="C138" s="3"/>
      <c r="D138" s="64" t="s">
        <v>169</v>
      </c>
      <c r="E138" s="55"/>
      <c r="F138" s="3" t="str">
        <f>VLOOKUP($D$7,'Source Data'!$A$2:$EU$28,145,FALSE)</f>
        <v>xxxxxxxxxxx</v>
      </c>
      <c r="G138" s="4"/>
    </row>
    <row r="139" spans="2:7" ht="45" customHeight="1">
      <c r="B139" s="80">
        <v>22.3</v>
      </c>
      <c r="C139" s="3"/>
      <c r="D139" s="64" t="s">
        <v>170</v>
      </c>
      <c r="E139" s="55"/>
      <c r="F139" s="3" t="str">
        <f>VLOOKUP($D$7,'Source Data'!$A$2:$EU$28,146,FALSE)</f>
        <v>xxxxxxxxxxx</v>
      </c>
      <c r="G139" s="4"/>
    </row>
    <row r="140" spans="2:7" ht="45" customHeight="1">
      <c r="B140" s="80">
        <v>22.4</v>
      </c>
      <c r="C140" s="84"/>
      <c r="D140" s="64" t="s">
        <v>171</v>
      </c>
      <c r="E140" s="65"/>
      <c r="F140" s="3" t="str">
        <f>VLOOKUP($D$7,'Source Data'!$A$2:$EU$28,147,FALSE)</f>
        <v>xxxxxxxxxxx</v>
      </c>
      <c r="G140" s="66"/>
    </row>
    <row r="141" spans="2:7" ht="45" customHeight="1">
      <c r="B141" s="80">
        <v>22.5</v>
      </c>
      <c r="C141" s="84"/>
      <c r="D141" s="64" t="s">
        <v>172</v>
      </c>
      <c r="E141" s="65"/>
      <c r="F141" s="3" t="str">
        <f>VLOOKUP($D$7,'Source Data'!$A$2:$EU$28,148,FALSE)</f>
        <v>Azure Blue</v>
      </c>
      <c r="G141" s="66"/>
    </row>
    <row r="142" spans="2:7" ht="151.15">
      <c r="B142" s="85">
        <v>23</v>
      </c>
      <c r="C142" s="84">
        <v>4.2</v>
      </c>
      <c r="D142" s="61" t="s">
        <v>284</v>
      </c>
      <c r="E142" s="65"/>
      <c r="F142" s="3" t="str">
        <f>VLOOKUP($D$7,'Source Data'!$A$2:$EU$28,149,FALSE)</f>
        <v>Report Numbers</v>
      </c>
      <c r="G142" s="66"/>
    </row>
    <row r="143" spans="2:7" ht="241.9" thickBot="1">
      <c r="B143" s="86">
        <v>24</v>
      </c>
      <c r="C143" s="67">
        <v>4.3</v>
      </c>
      <c r="D143" s="68" t="s">
        <v>285</v>
      </c>
      <c r="E143" s="69"/>
      <c r="F143" s="67" t="str">
        <f>VLOOKUP($D$7,'Source Data'!$A$2:$EU$28,150,FALSE)</f>
        <v>Report Numbers</v>
      </c>
      <c r="G143" s="70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&amp;CSWER Isolation, 100kVA 11kV/ 19kV* (Coastal, Ester Oil Only)</oddHeader>
  </headerFooter>
  <rowBreaks count="4" manualBreakCount="4">
    <brk id="37" min="1" max="6" man="1"/>
    <brk id="68" min="1" max="6" man="1"/>
    <brk id="102" min="1" max="6" man="1"/>
    <brk id="123" min="1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05BC2-41D6-4733-8804-0F6A23147E15}">
  <sheetPr>
    <pageSetUpPr fitToPage="1"/>
  </sheetPr>
  <dimension ref="B1:G143"/>
  <sheetViews>
    <sheetView topLeftCell="A75" zoomScale="85" zoomScaleNormal="85" zoomScaleSheetLayoutView="70" workbookViewId="0">
      <selection activeCell="D79" sqref="D79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28" bestFit="1" customWidth="1"/>
    <col min="6" max="6" width="22.85546875" customWidth="1"/>
    <col min="7" max="7" width="30.85546875" customWidth="1"/>
  </cols>
  <sheetData>
    <row r="1" spans="2:7" ht="15" thickBot="1"/>
    <row r="2" spans="2:7">
      <c r="B2" s="29"/>
      <c r="C2" s="30"/>
      <c r="D2" s="30"/>
      <c r="E2" s="31"/>
      <c r="F2" s="30"/>
      <c r="G2" s="32"/>
    </row>
    <row r="3" spans="2:7">
      <c r="B3" s="33"/>
      <c r="C3" s="34"/>
      <c r="D3" s="34"/>
      <c r="E3" s="35"/>
      <c r="F3" s="91" t="s">
        <v>226</v>
      </c>
      <c r="G3" s="92"/>
    </row>
    <row r="4" spans="2:7">
      <c r="B4" s="33"/>
      <c r="C4" s="34"/>
      <c r="D4" s="34"/>
      <c r="E4" s="35"/>
      <c r="F4" s="91" t="str">
        <f>'List of Items &amp; Enquiry number'!B14</f>
        <v>Enquiry Number: 123456XYZ</v>
      </c>
      <c r="G4" s="92"/>
    </row>
    <row r="5" spans="2:7">
      <c r="B5" s="33"/>
      <c r="C5" s="34"/>
      <c r="D5" s="34"/>
      <c r="E5" s="35"/>
      <c r="F5" s="34"/>
      <c r="G5" s="36"/>
    </row>
    <row r="6" spans="2:7" ht="28.9">
      <c r="B6" s="37"/>
      <c r="C6" s="38"/>
      <c r="D6" s="39" t="s">
        <v>227</v>
      </c>
      <c r="E6" s="40"/>
      <c r="F6" s="41"/>
      <c r="G6" s="42"/>
    </row>
    <row r="7" spans="2:7">
      <c r="B7" s="33"/>
      <c r="C7" s="34"/>
      <c r="D7" s="43" t="s">
        <v>31</v>
      </c>
      <c r="E7" s="35"/>
      <c r="F7" s="34"/>
      <c r="G7" s="36"/>
    </row>
    <row r="8" spans="2:7">
      <c r="B8" s="33"/>
      <c r="C8" s="34"/>
      <c r="D8" s="76" t="s">
        <v>228</v>
      </c>
      <c r="E8" s="34"/>
      <c r="F8" s="93" t="s">
        <v>229</v>
      </c>
      <c r="G8" s="94"/>
    </row>
    <row r="9" spans="2:7">
      <c r="B9" s="44" t="s">
        <v>230</v>
      </c>
      <c r="C9" s="1"/>
      <c r="D9" s="1"/>
      <c r="E9" s="1"/>
      <c r="F9" s="93"/>
      <c r="G9" s="94"/>
    </row>
    <row r="10" spans="2:7" ht="15" thickBot="1">
      <c r="B10" s="97" t="s">
        <v>231</v>
      </c>
      <c r="C10" s="98"/>
      <c r="D10" s="98"/>
      <c r="E10" s="45"/>
      <c r="F10" s="95"/>
      <c r="G10" s="96"/>
    </row>
    <row r="11" spans="2:7" ht="28.15" customHeight="1" thickBot="1">
      <c r="B11" s="49" t="s">
        <v>232</v>
      </c>
      <c r="C11" s="78" t="s">
        <v>233</v>
      </c>
      <c r="D11" s="47" t="s">
        <v>15</v>
      </c>
      <c r="E11" s="48"/>
      <c r="F11" s="49" t="s">
        <v>234</v>
      </c>
      <c r="G11" s="46" t="s">
        <v>235</v>
      </c>
    </row>
    <row r="12" spans="2:7" ht="21" customHeight="1">
      <c r="B12" s="79">
        <v>1</v>
      </c>
      <c r="C12" s="50"/>
      <c r="D12" s="51" t="s">
        <v>54</v>
      </c>
      <c r="E12" s="52"/>
      <c r="F12" s="50"/>
      <c r="G12" s="53"/>
    </row>
    <row r="13" spans="2:7" ht="45" customHeight="1">
      <c r="B13" s="80">
        <v>1.1000000000000001</v>
      </c>
      <c r="C13" s="3"/>
      <c r="D13" s="54" t="s">
        <v>55</v>
      </c>
      <c r="E13" s="55"/>
      <c r="F13" s="3" t="str">
        <f>VLOOKUP($D$7,'Source Data'!$A$2:$EU$28,3,FALSE)</f>
        <v>xxxxxxxxxxx</v>
      </c>
      <c r="G13" s="4"/>
    </row>
    <row r="14" spans="2:7" ht="45" customHeight="1">
      <c r="B14" s="80">
        <v>1.2000000000000002</v>
      </c>
      <c r="C14" s="3"/>
      <c r="D14" s="54" t="s">
        <v>56</v>
      </c>
      <c r="E14" s="55"/>
      <c r="F14" s="3" t="str">
        <f>VLOOKUP($D$7,'Source Data'!$A$2:$EU$28,4,FALSE)</f>
        <v>xxxxxxxxxxx</v>
      </c>
      <c r="G14" s="4"/>
    </row>
    <row r="15" spans="2:7" ht="45" customHeight="1">
      <c r="B15" s="80">
        <v>1.3</v>
      </c>
      <c r="C15" s="3"/>
      <c r="D15" s="54" t="s">
        <v>58</v>
      </c>
      <c r="E15" s="55"/>
      <c r="F15" s="3" t="str">
        <f>VLOOKUP($D$7,'Source Data'!$A$2:$EU$28,6,FALSE)</f>
        <v>xxxxxxxxxxx</v>
      </c>
      <c r="G15" s="4"/>
    </row>
    <row r="16" spans="2:7" ht="45" customHeight="1">
      <c r="B16" s="80">
        <v>1.4</v>
      </c>
      <c r="C16" s="3"/>
      <c r="D16" s="54" t="s">
        <v>236</v>
      </c>
      <c r="E16" s="55"/>
      <c r="F16" s="3" t="str">
        <f>VLOOKUP($D$7,'Source Data'!$A$2:$EU$28,7,FALSE)</f>
        <v>xxxxxxxxxxx</v>
      </c>
      <c r="G16" s="4"/>
    </row>
    <row r="17" spans="2:7" ht="45" customHeight="1">
      <c r="B17" s="80">
        <v>1.5</v>
      </c>
      <c r="C17" s="3"/>
      <c r="D17" s="54" t="s">
        <v>237</v>
      </c>
      <c r="E17" s="55"/>
      <c r="F17" s="3" t="str">
        <f>VLOOKUP($D$7,'Source Data'!$A$2:$EU$28,8,FALSE)</f>
        <v>xxxxxxxxxxx</v>
      </c>
      <c r="G17" s="4"/>
    </row>
    <row r="18" spans="2:7" ht="45" customHeight="1">
      <c r="B18" s="80">
        <v>1.6</v>
      </c>
      <c r="C18" s="3"/>
      <c r="D18" s="54" t="s">
        <v>61</v>
      </c>
      <c r="E18" s="55"/>
      <c r="F18" s="3" t="str">
        <f>VLOOKUP($D$7,'Source Data'!$A$2:$EU$28,9,FALSE)</f>
        <v>Ester Oil</v>
      </c>
      <c r="G18" s="4"/>
    </row>
    <row r="19" spans="2:7" ht="24.6" customHeight="1">
      <c r="B19" s="81">
        <v>2</v>
      </c>
      <c r="C19" s="3" t="s">
        <v>238</v>
      </c>
      <c r="D19" s="56" t="s">
        <v>62</v>
      </c>
      <c r="E19" s="55"/>
      <c r="F19" s="3"/>
      <c r="G19" s="4"/>
    </row>
    <row r="20" spans="2:7" ht="45" customHeight="1">
      <c r="B20" s="80">
        <v>2.1</v>
      </c>
      <c r="C20" s="3"/>
      <c r="D20" s="54" t="s">
        <v>63</v>
      </c>
      <c r="E20" s="55" t="s">
        <v>239</v>
      </c>
      <c r="F20" s="3">
        <f>VLOOKUP($D$7,'Source Data'!$A$2:$EU$28,11,FALSE)</f>
        <v>100</v>
      </c>
      <c r="G20" s="4"/>
    </row>
    <row r="21" spans="2:7" ht="45" customHeight="1">
      <c r="B21" s="80">
        <v>2.2000000000000002</v>
      </c>
      <c r="C21" s="3"/>
      <c r="D21" s="54" t="s">
        <v>64</v>
      </c>
      <c r="E21" s="55" t="s">
        <v>240</v>
      </c>
      <c r="F21" s="3">
        <f>VLOOKUP($D$7,'Source Data'!$A$2:$EU$28,12,FALSE)</f>
        <v>22</v>
      </c>
      <c r="G21" s="4"/>
    </row>
    <row r="22" spans="2:7" ht="45" customHeight="1">
      <c r="B22" s="80">
        <v>2.3000000000000003</v>
      </c>
      <c r="C22" s="3"/>
      <c r="D22" s="54" t="s">
        <v>241</v>
      </c>
      <c r="E22" s="55" t="s">
        <v>240</v>
      </c>
      <c r="F22" s="3">
        <f>VLOOKUP($D$7,'Source Data'!$A$2:$EU$28,13,FALSE)</f>
        <v>19</v>
      </c>
      <c r="G22" s="4"/>
    </row>
    <row r="23" spans="2:7" ht="45" customHeight="1">
      <c r="B23" s="80">
        <v>2.4000000000000004</v>
      </c>
      <c r="C23" s="3"/>
      <c r="D23" s="54" t="s">
        <v>66</v>
      </c>
      <c r="E23" s="55" t="s">
        <v>242</v>
      </c>
      <c r="F23" s="3">
        <f>VLOOKUP($D$7,'Source Data'!$A$2:$EU$28,14,FALSE)</f>
        <v>50</v>
      </c>
      <c r="G23" s="4"/>
    </row>
    <row r="24" spans="2:7" ht="45" customHeight="1">
      <c r="B24" s="80">
        <v>2.5</v>
      </c>
      <c r="C24" s="3"/>
      <c r="D24" s="54" t="s">
        <v>67</v>
      </c>
      <c r="E24" s="55"/>
      <c r="F24" s="3" t="str">
        <f>VLOOKUP($D$7,'Source Data'!$A$2:$EU$28,15,FALSE)</f>
        <v>1ph</v>
      </c>
      <c r="G24" s="4"/>
    </row>
    <row r="25" spans="2:7" ht="45" customHeight="1">
      <c r="B25" s="80">
        <v>2.6</v>
      </c>
      <c r="C25" s="3"/>
      <c r="D25" s="54" t="s">
        <v>68</v>
      </c>
      <c r="E25" s="55"/>
      <c r="F25" s="3" t="str">
        <f>VLOOKUP($D$7,'Source Data'!$A$2:$EU$28,16,FALSE)</f>
        <v>N/A</v>
      </c>
      <c r="G25" s="4" t="s">
        <v>178</v>
      </c>
    </row>
    <row r="26" spans="2:7" ht="24.6" customHeight="1">
      <c r="B26" s="81">
        <v>3</v>
      </c>
      <c r="C26" s="3" t="s">
        <v>243</v>
      </c>
      <c r="D26" s="56" t="s">
        <v>69</v>
      </c>
      <c r="E26" s="55"/>
      <c r="F26" s="3"/>
      <c r="G26" s="4"/>
    </row>
    <row r="27" spans="2:7" ht="45" customHeight="1">
      <c r="B27" s="80">
        <v>3.1</v>
      </c>
      <c r="C27" s="3"/>
      <c r="D27" s="54" t="s">
        <v>70</v>
      </c>
      <c r="E27" s="55" t="s">
        <v>240</v>
      </c>
      <c r="F27" s="3">
        <f>VLOOKUP($D$7,'Source Data'!$A$2:$EU$28,18,FALSE)</f>
        <v>150</v>
      </c>
      <c r="G27" s="4"/>
    </row>
    <row r="28" spans="2:7" ht="45" customHeight="1">
      <c r="B28" s="80">
        <v>3.2</v>
      </c>
      <c r="C28" s="3"/>
      <c r="D28" s="54" t="s">
        <v>71</v>
      </c>
      <c r="E28" s="55" t="s">
        <v>240</v>
      </c>
      <c r="F28" s="3">
        <f>VLOOKUP($D$7,'Source Data'!$A$2:$EU$28,19,FALSE)</f>
        <v>200</v>
      </c>
      <c r="G28" s="4"/>
    </row>
    <row r="29" spans="2:7" ht="45" customHeight="1">
      <c r="B29" s="80">
        <v>3.3</v>
      </c>
      <c r="C29" s="3"/>
      <c r="D29" s="54" t="s">
        <v>72</v>
      </c>
      <c r="E29" s="55" t="s">
        <v>240</v>
      </c>
      <c r="F29" s="3">
        <f>VLOOKUP($D$7,'Source Data'!$A$2:$EU$28,20,FALSE)</f>
        <v>30</v>
      </c>
      <c r="G29" s="4"/>
    </row>
    <row r="30" spans="2:7" ht="45" customHeight="1">
      <c r="B30" s="80">
        <v>3.4</v>
      </c>
      <c r="C30" s="3"/>
      <c r="D30" s="54" t="s">
        <v>73</v>
      </c>
      <c r="E30" s="55" t="s">
        <v>240</v>
      </c>
      <c r="F30" s="3">
        <f>VLOOKUP($D$7,'Source Data'!$A$2:$EU$28,21,FALSE)</f>
        <v>50</v>
      </c>
      <c r="G30" s="4"/>
    </row>
    <row r="31" spans="2:7" ht="45" customHeight="1">
      <c r="B31" s="80">
        <v>3.5</v>
      </c>
      <c r="C31" s="3"/>
      <c r="D31" s="54" t="s">
        <v>74</v>
      </c>
      <c r="E31" s="55" t="s">
        <v>240</v>
      </c>
      <c r="F31" s="3">
        <f>VLOOKUP($D$7,'Source Data'!$A$2:$EU$28,22,FALSE)</f>
        <v>8</v>
      </c>
      <c r="G31" s="4"/>
    </row>
    <row r="32" spans="2:7" ht="33" customHeight="1">
      <c r="B32" s="81">
        <v>4</v>
      </c>
      <c r="C32" s="3" t="s">
        <v>244</v>
      </c>
      <c r="D32" s="56" t="s">
        <v>75</v>
      </c>
      <c r="E32" s="55"/>
      <c r="F32" s="3"/>
      <c r="G32" s="4"/>
    </row>
    <row r="33" spans="2:7" ht="45" customHeight="1">
      <c r="B33" s="80">
        <v>4.0999999999999996</v>
      </c>
      <c r="C33" s="3"/>
      <c r="D33" s="54" t="s">
        <v>76</v>
      </c>
      <c r="E33" s="55"/>
      <c r="F33" s="3" t="str">
        <f>VLOOKUP($D$7,'Source Data'!$A$2:$EU$28,24,FALSE)</f>
        <v>xxxxxxxxxxx</v>
      </c>
      <c r="G33" s="4"/>
    </row>
    <row r="34" spans="2:7" ht="45" customHeight="1">
      <c r="B34" s="80">
        <v>4.1999999999999993</v>
      </c>
      <c r="C34" s="3"/>
      <c r="D34" s="54" t="s">
        <v>77</v>
      </c>
      <c r="E34" s="55"/>
      <c r="F34" s="3" t="str">
        <f>VLOOKUP($D$7,'Source Data'!$A$2:$EU$28,25,FALSE)</f>
        <v>Grade 3</v>
      </c>
      <c r="G34" s="4"/>
    </row>
    <row r="35" spans="2:7" ht="45" customHeight="1">
      <c r="B35" s="80">
        <v>4.3</v>
      </c>
      <c r="C35" s="3"/>
      <c r="D35" s="54" t="s">
        <v>78</v>
      </c>
      <c r="E35" s="55" t="s">
        <v>245</v>
      </c>
      <c r="F35" s="3" t="str">
        <f>VLOOKUP($D$7,'Source Data'!$A$2:$EU$28,26,FALSE)</f>
        <v>&gt; 0.125</v>
      </c>
      <c r="G35" s="4"/>
    </row>
    <row r="36" spans="2:7" ht="45" customHeight="1">
      <c r="B36" s="80">
        <v>4.3999999999999995</v>
      </c>
      <c r="C36" s="3"/>
      <c r="D36" s="54" t="s">
        <v>79</v>
      </c>
      <c r="E36" s="55"/>
      <c r="F36" s="3" t="str">
        <f>VLOOKUP($D$7,'Source Data'!$A$2:$EU$28,27,FALSE)</f>
        <v>xxxxxxxxxxx</v>
      </c>
      <c r="G36" s="4"/>
    </row>
    <row r="37" spans="2:7" ht="45" customHeight="1">
      <c r="B37" s="80">
        <v>4.5</v>
      </c>
      <c r="C37" s="3"/>
      <c r="D37" s="54" t="s">
        <v>80</v>
      </c>
      <c r="E37" s="55"/>
      <c r="F37" s="3" t="str">
        <f>VLOOKUP($D$7,'Source Data'!$A$2:$EU$28,28,FALSE)</f>
        <v>xxxxxxxxxxx</v>
      </c>
      <c r="G37" s="4"/>
    </row>
    <row r="38" spans="2:7" ht="45" customHeight="1">
      <c r="B38" s="80">
        <v>4.5999999999999996</v>
      </c>
      <c r="C38" s="3"/>
      <c r="D38" s="54" t="s">
        <v>81</v>
      </c>
      <c r="E38" s="55" t="s">
        <v>240</v>
      </c>
      <c r="F38" s="3">
        <f>VLOOKUP($D$7,'Source Data'!$A$2:$EU$28,29,FALSE)</f>
        <v>21</v>
      </c>
      <c r="G38" s="4"/>
    </row>
    <row r="39" spans="2:7" ht="45" customHeight="1">
      <c r="B39" s="80">
        <v>4.7</v>
      </c>
      <c r="C39" s="3"/>
      <c r="D39" s="54" t="s">
        <v>82</v>
      </c>
      <c r="E39" s="55" t="s">
        <v>240</v>
      </c>
      <c r="F39" s="3">
        <f>VLOOKUP($D$7,'Source Data'!$A$2:$EU$28,30,FALSE)</f>
        <v>8</v>
      </c>
      <c r="G39" s="4"/>
    </row>
    <row r="40" spans="2:7" ht="45" customHeight="1">
      <c r="B40" s="80">
        <v>4.8</v>
      </c>
      <c r="C40" s="3"/>
      <c r="D40" s="54" t="s">
        <v>246</v>
      </c>
      <c r="E40" s="55" t="s">
        <v>247</v>
      </c>
      <c r="F40" s="3" t="str">
        <f>VLOOKUP($D$7,'Source Data'!$A$2:$EU$28,31,FALSE)</f>
        <v>&lt;5</v>
      </c>
      <c r="G40" s="4"/>
    </row>
    <row r="41" spans="2:7" ht="45" customHeight="1">
      <c r="B41" s="81">
        <v>5</v>
      </c>
      <c r="C41" s="3" t="s">
        <v>248</v>
      </c>
      <c r="D41" s="56" t="s">
        <v>84</v>
      </c>
      <c r="E41" s="55"/>
      <c r="F41" s="3"/>
      <c r="G41" s="4"/>
    </row>
    <row r="42" spans="2:7" ht="45" customHeight="1">
      <c r="B42" s="80">
        <v>5.0999999999999996</v>
      </c>
      <c r="C42" s="3"/>
      <c r="D42" s="54" t="s">
        <v>85</v>
      </c>
      <c r="E42" s="55" t="s">
        <v>247</v>
      </c>
      <c r="F42" s="3" t="str">
        <f>VLOOKUP($D$7,'Source Data'!$A$2:$EU$28,33,FALSE)</f>
        <v>&lt; 5</v>
      </c>
      <c r="G42" s="4"/>
    </row>
    <row r="43" spans="2:7" ht="45" customHeight="1">
      <c r="B43" s="80">
        <v>5.1999999999999993</v>
      </c>
      <c r="C43" s="3"/>
      <c r="D43" s="54" t="s">
        <v>86</v>
      </c>
      <c r="E43" s="55" t="s">
        <v>247</v>
      </c>
      <c r="F43" s="3" t="str">
        <f>VLOOKUP($D$7,'Source Data'!$A$2:$EU$28,34,FALSE)</f>
        <v xml:space="preserve">&lt; 5 </v>
      </c>
      <c r="G43" s="4"/>
    </row>
    <row r="44" spans="2:7" ht="45" customHeight="1">
      <c r="B44" s="80">
        <v>5.3</v>
      </c>
      <c r="C44" s="3"/>
      <c r="D44" s="54" t="s">
        <v>87</v>
      </c>
      <c r="E44" s="55"/>
      <c r="F44" s="3" t="str">
        <f>VLOOKUP($D$7,'Source Data'!$A$2:$EU$28,35,FALSE)</f>
        <v>xxxxxxxxxxx</v>
      </c>
      <c r="G44" s="4"/>
    </row>
    <row r="45" spans="2:7" ht="45" customHeight="1">
      <c r="B45" s="80">
        <v>5.3999999999999995</v>
      </c>
      <c r="C45" s="3"/>
      <c r="D45" s="54" t="s">
        <v>88</v>
      </c>
      <c r="E45" s="55"/>
      <c r="F45" s="3" t="str">
        <f>VLOOKUP($D$7,'Source Data'!$A$2:$EU$28,36,FALSE)</f>
        <v>xxxxxxxxxxx</v>
      </c>
      <c r="G45" s="4"/>
    </row>
    <row r="46" spans="2:7" ht="27" customHeight="1">
      <c r="B46" s="81">
        <v>6</v>
      </c>
      <c r="C46" s="3" t="s">
        <v>249</v>
      </c>
      <c r="D46" s="56" t="s">
        <v>89</v>
      </c>
      <c r="E46" s="55"/>
      <c r="F46" s="3"/>
      <c r="G46" s="4"/>
    </row>
    <row r="47" spans="2:7" ht="45" customHeight="1">
      <c r="B47" s="80">
        <v>6.1</v>
      </c>
      <c r="C47" s="3"/>
      <c r="D47" s="54" t="s">
        <v>90</v>
      </c>
      <c r="E47" s="55"/>
      <c r="F47" s="3" t="str">
        <f>VLOOKUP($D$7,'Source Data'!$A$2:$EU$28,38,FALSE)</f>
        <v>xxxxxxxxxxx</v>
      </c>
      <c r="G47" s="4" t="s">
        <v>178</v>
      </c>
    </row>
    <row r="48" spans="2:7" ht="31.15" customHeight="1">
      <c r="B48" s="81">
        <v>7</v>
      </c>
      <c r="C48" s="3" t="s">
        <v>250</v>
      </c>
      <c r="D48" s="56" t="s">
        <v>100</v>
      </c>
      <c r="E48" s="55"/>
      <c r="F48" s="3"/>
      <c r="G48" s="4"/>
    </row>
    <row r="49" spans="2:7" ht="45" customHeight="1">
      <c r="B49" s="80">
        <v>7.1</v>
      </c>
      <c r="C49" s="3"/>
      <c r="D49" s="54" t="s">
        <v>93</v>
      </c>
      <c r="E49" s="55"/>
      <c r="F49" s="3" t="str">
        <f>VLOOKUP($D$7,'Source Data'!$A$2:$EU$28,49,FALSE)</f>
        <v>xxxxxxxxxxx</v>
      </c>
      <c r="G49" s="4"/>
    </row>
    <row r="50" spans="2:7" ht="45" customHeight="1">
      <c r="B50" s="80">
        <v>7.2</v>
      </c>
      <c r="C50" s="3"/>
      <c r="D50" s="54" t="s">
        <v>94</v>
      </c>
      <c r="E50" s="55"/>
      <c r="F50" s="3" t="str">
        <f>VLOOKUP($D$7,'Source Data'!$A$2:$EU$28,50,FALSE)</f>
        <v>xxxxxxxxxxx</v>
      </c>
      <c r="G50" s="4"/>
    </row>
    <row r="51" spans="2:7" ht="45" customHeight="1">
      <c r="B51" s="80">
        <v>7.3</v>
      </c>
      <c r="C51" s="3"/>
      <c r="D51" s="54" t="s">
        <v>95</v>
      </c>
      <c r="E51" s="55"/>
      <c r="F51" s="3" t="str">
        <f>VLOOKUP($D$7,'Source Data'!$A$2:$EU$28,51,FALSE)</f>
        <v>xxxxxxxxxxx</v>
      </c>
      <c r="G51" s="4"/>
    </row>
    <row r="52" spans="2:7" ht="45" customHeight="1">
      <c r="B52" s="80">
        <v>7.4</v>
      </c>
      <c r="C52" s="3"/>
      <c r="D52" s="54" t="s">
        <v>96</v>
      </c>
      <c r="E52" s="55" t="s">
        <v>251</v>
      </c>
      <c r="F52" s="3" t="str">
        <f>VLOOKUP($D$7,'Source Data'!$A$2:$EU$28,52,FALSE)</f>
        <v>≥ 31</v>
      </c>
      <c r="G52" s="4"/>
    </row>
    <row r="53" spans="2:7" ht="45" customHeight="1">
      <c r="B53" s="80">
        <v>7.5</v>
      </c>
      <c r="C53" s="3"/>
      <c r="D53" s="54" t="s">
        <v>97</v>
      </c>
      <c r="E53" s="55"/>
      <c r="F53" s="3" t="str">
        <f>VLOOKUP($D$7,'Source Data'!$A$2:$EU$28,53,FALSE)</f>
        <v>Base</v>
      </c>
      <c r="G53" s="4"/>
    </row>
    <row r="54" spans="2:7" ht="45" customHeight="1">
      <c r="B54" s="80">
        <v>7.6</v>
      </c>
      <c r="C54" s="3"/>
      <c r="D54" s="54" t="s">
        <v>98</v>
      </c>
      <c r="E54" s="55"/>
      <c r="F54" s="3" t="str">
        <f>VLOOKUP($D$7,'Source Data'!$A$2:$EU$28,54,FALSE)</f>
        <v>Draw lead</v>
      </c>
      <c r="G54" s="4"/>
    </row>
    <row r="55" spans="2:7" ht="45" customHeight="1">
      <c r="B55" s="80">
        <v>7.7</v>
      </c>
      <c r="C55" s="3"/>
      <c r="D55" s="54" t="s">
        <v>99</v>
      </c>
      <c r="E55" s="55"/>
      <c r="F55" s="3" t="str">
        <f>VLOOKUP($D$7,'Source Data'!$A$2:$EU$28,55,FALSE)</f>
        <v>M12</v>
      </c>
      <c r="G55" s="4"/>
    </row>
    <row r="56" spans="2:7" ht="45" customHeight="1">
      <c r="B56" s="80">
        <v>7.8</v>
      </c>
      <c r="C56" s="3" t="s">
        <v>250</v>
      </c>
      <c r="D56" s="56" t="s">
        <v>101</v>
      </c>
      <c r="E56" s="55"/>
      <c r="F56" s="3"/>
      <c r="G56" s="4"/>
    </row>
    <row r="57" spans="2:7" ht="45" customHeight="1">
      <c r="B57" s="80">
        <v>7.9</v>
      </c>
      <c r="C57" s="3"/>
      <c r="D57" s="2" t="s">
        <v>93</v>
      </c>
      <c r="E57" s="55"/>
      <c r="F57" s="3" t="str">
        <f>VLOOKUP($D$7,'Source Data'!$A$2:$EU$28,57,FALSE)</f>
        <v>xxxxxxxxxxx</v>
      </c>
      <c r="G57" s="4"/>
    </row>
    <row r="58" spans="2:7" ht="45" customHeight="1">
      <c r="B58" s="82" t="s">
        <v>252</v>
      </c>
      <c r="C58" s="3"/>
      <c r="D58" s="2" t="s">
        <v>94</v>
      </c>
      <c r="E58" s="55"/>
      <c r="F58" s="3" t="str">
        <f>VLOOKUP($D$7,'Source Data'!$A$2:$EU$28,58,FALSE)</f>
        <v>xxxxxxxxxxx</v>
      </c>
      <c r="G58" s="4"/>
    </row>
    <row r="59" spans="2:7" ht="45" customHeight="1">
      <c r="B59" s="82" t="s">
        <v>253</v>
      </c>
      <c r="C59" s="3"/>
      <c r="D59" s="2" t="s">
        <v>95</v>
      </c>
      <c r="E59" s="55"/>
      <c r="F59" s="3" t="str">
        <f>VLOOKUP($D$7,'Source Data'!$A$2:$EU$28,59,FALSE)</f>
        <v>xxxxxxxxxxx</v>
      </c>
      <c r="G59" s="4"/>
    </row>
    <row r="60" spans="2:7" ht="45" customHeight="1">
      <c r="B60" s="82" t="s">
        <v>254</v>
      </c>
      <c r="C60" s="3"/>
      <c r="D60" s="2" t="s">
        <v>96</v>
      </c>
      <c r="E60" s="55"/>
      <c r="F60" s="3" t="str">
        <f>VLOOKUP($D$7,'Source Data'!$A$2:$EU$28,60,FALSE)</f>
        <v>≥ 31</v>
      </c>
      <c r="G60" s="4"/>
    </row>
    <row r="61" spans="2:7" ht="45" customHeight="1">
      <c r="B61" s="82" t="s">
        <v>255</v>
      </c>
      <c r="C61" s="3"/>
      <c r="D61" s="2" t="s">
        <v>97</v>
      </c>
      <c r="E61" s="55"/>
      <c r="F61" s="3" t="str">
        <f>VLOOKUP($D$7,'Source Data'!$A$2:$EU$28,61,FALSE)</f>
        <v>Base</v>
      </c>
      <c r="G61" s="4"/>
    </row>
    <row r="62" spans="2:7" ht="45" customHeight="1">
      <c r="B62" s="82" t="s">
        <v>256</v>
      </c>
      <c r="C62" s="3"/>
      <c r="D62" s="2" t="s">
        <v>98</v>
      </c>
      <c r="E62" s="55"/>
      <c r="F62" s="3" t="str">
        <f>VLOOKUP($D$7,'Source Data'!$A$2:$EU$28,62,FALSE)</f>
        <v>Draw lead</v>
      </c>
      <c r="G62" s="4"/>
    </row>
    <row r="63" spans="2:7" ht="45" customHeight="1">
      <c r="B63" s="82" t="s">
        <v>257</v>
      </c>
      <c r="C63" s="3"/>
      <c r="D63" s="2" t="s">
        <v>99</v>
      </c>
      <c r="E63" s="55"/>
      <c r="F63" s="3" t="str">
        <f>VLOOKUP($D$7,'Source Data'!$A$2:$EU$28,63,FALSE)</f>
        <v>M12</v>
      </c>
      <c r="G63" s="4"/>
    </row>
    <row r="64" spans="2:7" ht="15.6">
      <c r="B64" s="81">
        <v>8</v>
      </c>
      <c r="C64" s="3" t="s">
        <v>250</v>
      </c>
      <c r="D64" s="56" t="s">
        <v>102</v>
      </c>
      <c r="E64" s="55"/>
      <c r="F64" s="3"/>
      <c r="G64" s="4"/>
    </row>
    <row r="65" spans="2:7" ht="45" customHeight="1">
      <c r="B65" s="80">
        <v>8.1</v>
      </c>
      <c r="C65" s="3"/>
      <c r="D65" s="54" t="s">
        <v>93</v>
      </c>
      <c r="E65" s="55"/>
      <c r="F65" s="3" t="str">
        <f>VLOOKUP($D$7,'Source Data'!$A$2:$EU$28,65,FALSE)</f>
        <v>xxxxxxxxxxx</v>
      </c>
      <c r="G65" s="4"/>
    </row>
    <row r="66" spans="2:7" ht="45" customHeight="1">
      <c r="B66" s="80">
        <v>8.1999999999999993</v>
      </c>
      <c r="C66" s="3"/>
      <c r="D66" s="54" t="s">
        <v>94</v>
      </c>
      <c r="E66" s="55"/>
      <c r="F66" s="3" t="str">
        <f>VLOOKUP($D$7,'Source Data'!$A$2:$EU$28,66,FALSE)</f>
        <v>xxxxxxxxxxx</v>
      </c>
      <c r="G66" s="4"/>
    </row>
    <row r="67" spans="2:7" ht="45" customHeight="1">
      <c r="B67" s="80">
        <v>8.3000000000000007</v>
      </c>
      <c r="C67" s="3"/>
      <c r="D67" s="54" t="s">
        <v>95</v>
      </c>
      <c r="E67" s="55"/>
      <c r="F67" s="3" t="str">
        <f>VLOOKUP($D$7,'Source Data'!$A$2:$EU$28,67,FALSE)</f>
        <v>xxxxxxxxxxx</v>
      </c>
      <c r="G67" s="4"/>
    </row>
    <row r="68" spans="2:7" ht="45" customHeight="1">
      <c r="B68" s="80">
        <v>8.4</v>
      </c>
      <c r="C68" s="3"/>
      <c r="D68" s="54" t="s">
        <v>99</v>
      </c>
      <c r="E68" s="55"/>
      <c r="F68" s="3" t="str">
        <f>VLOOKUP($D$7,'Source Data'!$A$2:$EU$28,68,FALSE)</f>
        <v>M12</v>
      </c>
      <c r="G68" s="4"/>
    </row>
    <row r="69" spans="2:7" ht="28.15" customHeight="1">
      <c r="B69" s="81">
        <v>9</v>
      </c>
      <c r="C69" s="3" t="s">
        <v>258</v>
      </c>
      <c r="D69" s="56" t="s">
        <v>105</v>
      </c>
      <c r="E69" s="55"/>
      <c r="F69" s="3"/>
      <c r="G69" s="4"/>
    </row>
    <row r="70" spans="2:7" ht="45" customHeight="1">
      <c r="B70" s="80">
        <v>9.1</v>
      </c>
      <c r="C70" s="3"/>
      <c r="D70" s="54" t="s">
        <v>106</v>
      </c>
      <c r="E70" s="55"/>
      <c r="F70" s="3" t="str">
        <f>VLOOKUP($D$7,'Source Data'!$A$2:$EU$28,72,FALSE)</f>
        <v>Distribution</v>
      </c>
      <c r="G70" s="4" t="s">
        <v>178</v>
      </c>
    </row>
    <row r="71" spans="2:7" ht="45" customHeight="1">
      <c r="B71" s="80">
        <v>9.1999999999999993</v>
      </c>
      <c r="C71" s="3"/>
      <c r="D71" s="54" t="s">
        <v>107</v>
      </c>
      <c r="E71" s="55" t="s">
        <v>259</v>
      </c>
      <c r="F71" s="3">
        <f>VLOOKUP($D$7,'Source Data'!$A$2:$EU$28,73,FALSE)</f>
        <v>80500</v>
      </c>
      <c r="G71" s="4" t="s">
        <v>178</v>
      </c>
    </row>
    <row r="72" spans="2:7" ht="45" customHeight="1">
      <c r="B72" s="80">
        <v>9.3000000000000007</v>
      </c>
      <c r="C72" s="3"/>
      <c r="D72" s="54" t="s">
        <v>108</v>
      </c>
      <c r="E72" s="55" t="s">
        <v>259</v>
      </c>
      <c r="F72" s="3">
        <f>VLOOKUP($D$7,'Source Data'!$A$2:$EU$28,74,FALSE)</f>
        <v>17500</v>
      </c>
      <c r="G72" s="4" t="s">
        <v>178</v>
      </c>
    </row>
    <row r="73" spans="2:7" ht="45" customHeight="1">
      <c r="B73" s="80">
        <v>9.4</v>
      </c>
      <c r="C73" s="3"/>
      <c r="D73" s="54" t="s">
        <v>260</v>
      </c>
      <c r="E73" s="55" t="s">
        <v>261</v>
      </c>
      <c r="F73" s="3">
        <f>VLOOKUP($D$7,'Source Data'!$A$2:$EU$28,75,FALSE)</f>
        <v>190</v>
      </c>
      <c r="G73" s="4"/>
    </row>
    <row r="74" spans="2:7" ht="45" customHeight="1">
      <c r="B74" s="80">
        <v>9.5</v>
      </c>
      <c r="C74" s="3"/>
      <c r="D74" s="54" t="s">
        <v>262</v>
      </c>
      <c r="E74" s="55" t="s">
        <v>261</v>
      </c>
      <c r="F74" s="3">
        <f>VLOOKUP($D$7,'Source Data'!$A$2:$EU$28,151,FALSE)</f>
        <v>70</v>
      </c>
      <c r="G74" s="4"/>
    </row>
    <row r="75" spans="2:7" ht="45" customHeight="1">
      <c r="B75" s="80">
        <v>9.6</v>
      </c>
      <c r="C75" s="3"/>
      <c r="D75" s="54" t="s">
        <v>263</v>
      </c>
      <c r="E75" s="55" t="s">
        <v>261</v>
      </c>
      <c r="F75" s="3">
        <f>VLOOKUP($D$7,'Source Data'!$A$2:$EU$28,76,FALSE)</f>
        <v>1500</v>
      </c>
      <c r="G75" s="4"/>
    </row>
    <row r="76" spans="2:7" ht="27" customHeight="1">
      <c r="B76" s="81">
        <v>10</v>
      </c>
      <c r="C76" s="3" t="s">
        <v>258</v>
      </c>
      <c r="D76" s="57" t="s">
        <v>111</v>
      </c>
      <c r="E76" s="55"/>
      <c r="F76" s="3"/>
      <c r="G76" s="4"/>
    </row>
    <row r="77" spans="2:7" ht="45" customHeight="1">
      <c r="B77" s="80">
        <v>10.1</v>
      </c>
      <c r="C77" s="3"/>
      <c r="D77" s="58" t="s">
        <v>112</v>
      </c>
      <c r="E77" s="55" t="s">
        <v>264</v>
      </c>
      <c r="F77" s="59" t="str">
        <f>VLOOKUP($D$7,'Source Data'!$A$2:$EU$28,78,FALSE)</f>
        <v>3,0 to 4,5</v>
      </c>
      <c r="G77" s="4"/>
    </row>
    <row r="78" spans="2:7" ht="45" customHeight="1">
      <c r="B78" s="80">
        <v>10.199999999999999</v>
      </c>
      <c r="C78" s="3"/>
      <c r="D78" s="58" t="s">
        <v>113</v>
      </c>
      <c r="E78" s="55"/>
      <c r="F78" s="59" t="str">
        <f>VLOOKUP($D$7,'Source Data'!$A$2:$EU$28,79,FALSE)</f>
        <v>xxxxxxxxxx</v>
      </c>
      <c r="G78" s="4"/>
    </row>
    <row r="79" spans="2:7" ht="27" customHeight="1">
      <c r="B79" s="81">
        <v>11</v>
      </c>
      <c r="C79" s="3"/>
      <c r="D79" s="117" t="s">
        <v>299</v>
      </c>
      <c r="E79" s="55"/>
      <c r="F79" s="3"/>
      <c r="G79" s="4"/>
    </row>
    <row r="80" spans="2:7" ht="45" customHeight="1">
      <c r="B80" s="80">
        <v>11.1</v>
      </c>
      <c r="C80" s="3"/>
      <c r="D80" s="54" t="s">
        <v>115</v>
      </c>
      <c r="E80" s="55" t="s">
        <v>266</v>
      </c>
      <c r="F80" s="59" t="str">
        <f>VLOOKUP($D$7,'Source Data'!$A$2:$EU$28,81,FALSE)</f>
        <v xml:space="preserve">≤ 48 </v>
      </c>
      <c r="G80" s="4"/>
    </row>
    <row r="81" spans="2:7" ht="22.15" customHeight="1">
      <c r="B81" s="81">
        <v>12</v>
      </c>
      <c r="C81" s="3"/>
      <c r="D81" s="56" t="s">
        <v>267</v>
      </c>
      <c r="E81" s="55"/>
      <c r="F81" s="3"/>
      <c r="G81" s="4"/>
    </row>
    <row r="82" spans="2:7" ht="45" customHeight="1">
      <c r="B82" s="80">
        <v>12.1</v>
      </c>
      <c r="C82" s="3"/>
      <c r="D82" s="54" t="s">
        <v>117</v>
      </c>
      <c r="E82" s="55"/>
      <c r="F82" s="59" t="str">
        <f>VLOOKUP($D$7,'Source Data'!$A$2:$EU$28,83,FALSE)</f>
        <v>xxxxxxxxxxx</v>
      </c>
      <c r="G82" s="4"/>
    </row>
    <row r="83" spans="2:7" ht="45" customHeight="1">
      <c r="B83" s="80">
        <v>12.2</v>
      </c>
      <c r="C83" s="3"/>
      <c r="D83" s="54" t="s">
        <v>118</v>
      </c>
      <c r="E83" s="55"/>
      <c r="F83" s="59" t="str">
        <f>VLOOKUP($D$7,'Source Data'!$A$2:$EU$28,84,FALSE)</f>
        <v>xxxxxxxxxxx</v>
      </c>
      <c r="G83" s="4"/>
    </row>
    <row r="84" spans="2:7" ht="21.6" customHeight="1">
      <c r="B84" s="81">
        <v>13</v>
      </c>
      <c r="C84" s="3"/>
      <c r="D84" s="56" t="s">
        <v>119</v>
      </c>
      <c r="E84" s="55"/>
      <c r="F84" s="3"/>
      <c r="G84" s="4"/>
    </row>
    <row r="85" spans="2:7" ht="45" customHeight="1">
      <c r="B85" s="80">
        <v>13.1</v>
      </c>
      <c r="C85" s="3"/>
      <c r="D85" s="54" t="s">
        <v>117</v>
      </c>
      <c r="E85" s="55"/>
      <c r="F85" s="59" t="str">
        <f>VLOOKUP($D$7,'Source Data'!$A$2:$EU$28,86,FALSE)</f>
        <v>xxxxxxxxxxx</v>
      </c>
      <c r="G85" s="4"/>
    </row>
    <row r="86" spans="2:7" ht="45" customHeight="1">
      <c r="B86" s="80">
        <v>13.2</v>
      </c>
      <c r="C86" s="3"/>
      <c r="D86" s="54" t="s">
        <v>118</v>
      </c>
      <c r="E86" s="55"/>
      <c r="F86" s="59" t="str">
        <f>VLOOKUP($D$7,'Source Data'!$A$2:$EU$28,87,FALSE)</f>
        <v>xxxxxxxxxxx</v>
      </c>
      <c r="G86" s="4"/>
    </row>
    <row r="87" spans="2:7" ht="24.6" customHeight="1">
      <c r="B87" s="81">
        <v>14</v>
      </c>
      <c r="C87" s="3"/>
      <c r="D87" s="56" t="s">
        <v>120</v>
      </c>
      <c r="E87" s="55"/>
      <c r="F87" s="3"/>
      <c r="G87" s="4"/>
    </row>
    <row r="88" spans="2:7" ht="45" customHeight="1">
      <c r="B88" s="80">
        <v>14.1</v>
      </c>
      <c r="C88" s="3"/>
      <c r="D88" s="54" t="s">
        <v>121</v>
      </c>
      <c r="E88" s="55"/>
      <c r="F88" s="59" t="str">
        <f>VLOOKUP($D$7,'Source Data'!$A$2:$EU$28,89,FALSE)</f>
        <v>Steel or Amporphous</v>
      </c>
      <c r="G88" s="4"/>
    </row>
    <row r="89" spans="2:7" ht="45" customHeight="1">
      <c r="B89" s="80">
        <v>14.2</v>
      </c>
      <c r="C89" s="3"/>
      <c r="D89" s="54" t="s">
        <v>122</v>
      </c>
      <c r="E89" s="55"/>
      <c r="F89" s="59" t="str">
        <f>VLOOKUP($D$7,'Source Data'!$A$2:$EU$28,90,FALSE)</f>
        <v>xxxxxxxxxxx</v>
      </c>
      <c r="G89" s="4"/>
    </row>
    <row r="90" spans="2:7" ht="45" customHeight="1">
      <c r="B90" s="80">
        <v>14.3</v>
      </c>
      <c r="C90" s="3"/>
      <c r="D90" s="54" t="s">
        <v>123</v>
      </c>
      <c r="E90" s="55"/>
      <c r="F90" s="59" t="str">
        <f>VLOOKUP($D$7,'Source Data'!$A$2:$EU$28,91,FALSE)</f>
        <v>xxxxxxxxxxx</v>
      </c>
      <c r="G90" s="4"/>
    </row>
    <row r="91" spans="2:7" ht="45" customHeight="1">
      <c r="B91" s="80">
        <v>14.4</v>
      </c>
      <c r="C91" s="3"/>
      <c r="D91" s="54" t="s">
        <v>124</v>
      </c>
      <c r="E91" s="55"/>
      <c r="F91" s="59" t="str">
        <f>VLOOKUP($D$7,'Source Data'!$A$2:$EU$28,92,FALSE)</f>
        <v>xxxxxxxxxxx</v>
      </c>
      <c r="G91" s="4"/>
    </row>
    <row r="92" spans="2:7" ht="23.45" customHeight="1">
      <c r="B92" s="81">
        <v>15</v>
      </c>
      <c r="C92" s="3" t="s">
        <v>268</v>
      </c>
      <c r="D92" s="57" t="s">
        <v>125</v>
      </c>
      <c r="E92" s="55"/>
      <c r="F92" s="59"/>
      <c r="G92" s="4"/>
    </row>
    <row r="93" spans="2:7" ht="45" customHeight="1">
      <c r="B93" s="80">
        <v>15.1</v>
      </c>
      <c r="C93" s="3"/>
      <c r="D93" s="54" t="s">
        <v>126</v>
      </c>
      <c r="E93" s="55"/>
      <c r="F93" s="59" t="str">
        <f>VLOOKUP($D$7,'Source Data'!$A$2:$EU$28,94,FALSE)</f>
        <v>Sealed</v>
      </c>
      <c r="G93" s="4"/>
    </row>
    <row r="94" spans="2:7" ht="45" customHeight="1">
      <c r="B94" s="80">
        <v>15.2</v>
      </c>
      <c r="C94" s="3"/>
      <c r="D94" s="54" t="s">
        <v>127</v>
      </c>
      <c r="E94" s="55"/>
      <c r="F94" s="59" t="str">
        <f>VLOOKUP($D$7,'Source Data'!$A$2:$EU$28,95,FALSE)</f>
        <v>xxxxxxxxxx</v>
      </c>
      <c r="G94" s="4"/>
    </row>
    <row r="95" spans="2:7" ht="21.6" customHeight="1">
      <c r="B95" s="81">
        <v>16</v>
      </c>
      <c r="C95" s="3" t="s">
        <v>269</v>
      </c>
      <c r="D95" s="56" t="s">
        <v>128</v>
      </c>
      <c r="E95" s="55"/>
      <c r="F95" s="59"/>
      <c r="G95" s="4"/>
    </row>
    <row r="96" spans="2:7" ht="40.15" customHeight="1">
      <c r="B96" s="80">
        <v>16.100000000000001</v>
      </c>
      <c r="C96" s="3" t="s">
        <v>270</v>
      </c>
      <c r="D96" s="54" t="s">
        <v>129</v>
      </c>
      <c r="E96" s="55" t="s">
        <v>245</v>
      </c>
      <c r="F96" s="59" t="str">
        <f>VLOOKUP($D$7,'Source Data'!$A$2:$EU$28,97,FALSE)</f>
        <v xml:space="preserve">≤ 1 080 </v>
      </c>
      <c r="G96" s="4"/>
    </row>
    <row r="97" spans="2:7" ht="40.15" customHeight="1">
      <c r="B97" s="80">
        <v>16.2</v>
      </c>
      <c r="C97" s="3" t="s">
        <v>270</v>
      </c>
      <c r="D97" s="54" t="s">
        <v>130</v>
      </c>
      <c r="E97" s="55" t="s">
        <v>245</v>
      </c>
      <c r="F97" s="59" t="str">
        <f>VLOOKUP($D$7,'Source Data'!$A$2:$EU$28,98,FALSE)</f>
        <v xml:space="preserve">≤ 1 500 </v>
      </c>
      <c r="G97" s="4"/>
    </row>
    <row r="98" spans="2:7" ht="40.15" customHeight="1">
      <c r="B98" s="80">
        <v>16.3</v>
      </c>
      <c r="C98" s="3" t="s">
        <v>270</v>
      </c>
      <c r="D98" s="54" t="s">
        <v>131</v>
      </c>
      <c r="E98" s="55" t="s">
        <v>245</v>
      </c>
      <c r="F98" s="59" t="str">
        <f>VLOOKUP($D$7,'Source Data'!$A$2:$EU$28,99,FALSE)</f>
        <v xml:space="preserve">≤ 1 500 </v>
      </c>
      <c r="G98" s="4"/>
    </row>
    <row r="99" spans="2:7" ht="40.15" customHeight="1">
      <c r="B99" s="80">
        <v>16.399999999999999</v>
      </c>
      <c r="C99" s="3" t="s">
        <v>270</v>
      </c>
      <c r="D99" s="54" t="s">
        <v>132</v>
      </c>
      <c r="E99" s="55" t="s">
        <v>271</v>
      </c>
      <c r="F99" s="3" t="str">
        <f>VLOOKUP($D$7,'Source Data'!$A$2:$EU$28,100,FALSE)</f>
        <v xml:space="preserve">≤ 900 </v>
      </c>
      <c r="G99" s="4"/>
    </row>
    <row r="100" spans="2:7" ht="40.15" customHeight="1">
      <c r="B100" s="80">
        <v>16.5</v>
      </c>
      <c r="C100" s="3"/>
      <c r="D100" s="54" t="s">
        <v>133</v>
      </c>
      <c r="E100" s="55" t="s">
        <v>272</v>
      </c>
      <c r="F100" s="3" t="str">
        <f>VLOOKUP($D$7,'Source Data'!$A$2:$EU$28,101,FALSE)</f>
        <v>xxxxxxxxxxx</v>
      </c>
      <c r="G100" s="4"/>
    </row>
    <row r="101" spans="2:7" ht="40.15" customHeight="1">
      <c r="B101" s="80">
        <v>16.600000000000001</v>
      </c>
      <c r="C101" s="3"/>
      <c r="D101" s="54" t="s">
        <v>134</v>
      </c>
      <c r="E101" s="55" t="s">
        <v>245</v>
      </c>
      <c r="F101" s="3">
        <f>VLOOKUP($D$7,'Source Data'!$A$2:$EU$28,102,FALSE)</f>
        <v>300</v>
      </c>
      <c r="G101" s="4"/>
    </row>
    <row r="102" spans="2:7" ht="45" customHeight="1">
      <c r="B102" s="80">
        <v>16.7</v>
      </c>
      <c r="C102" s="3" t="s">
        <v>273</v>
      </c>
      <c r="D102" s="54" t="s">
        <v>135</v>
      </c>
      <c r="E102" s="55" t="s">
        <v>245</v>
      </c>
      <c r="F102" s="3">
        <f>VLOOKUP($D$7,'Source Data'!$A$2:$EU$28,103,FALSE)</f>
        <v>100</v>
      </c>
      <c r="G102" s="4"/>
    </row>
    <row r="103" spans="2:7" ht="25.9" customHeight="1">
      <c r="B103" s="81">
        <v>17</v>
      </c>
      <c r="C103" s="3" t="s">
        <v>273</v>
      </c>
      <c r="D103" s="56" t="s">
        <v>136</v>
      </c>
      <c r="E103" s="55"/>
      <c r="F103" s="3"/>
      <c r="G103" s="4"/>
    </row>
    <row r="104" spans="2:7" ht="45" customHeight="1">
      <c r="B104" s="80">
        <v>17.100000000000001</v>
      </c>
      <c r="C104" s="3"/>
      <c r="D104" s="54" t="s">
        <v>137</v>
      </c>
      <c r="E104" s="55"/>
      <c r="F104" s="3" t="str">
        <f>VLOOKUP($D$7,'Source Data'!$A$2:$EU$28,105,FALSE)</f>
        <v>No</v>
      </c>
      <c r="G104" s="4" t="s">
        <v>178</v>
      </c>
    </row>
    <row r="105" spans="2:7" ht="45" customHeight="1">
      <c r="B105" s="80" t="s">
        <v>274</v>
      </c>
      <c r="C105" s="83"/>
      <c r="D105" s="54" t="s">
        <v>138</v>
      </c>
      <c r="E105" s="55"/>
      <c r="F105" s="3" t="str">
        <f>VLOOKUP($D$7,'Source Data'!$A$2:$EU$28,106,FALSE)</f>
        <v>N/A</v>
      </c>
      <c r="G105" s="4" t="s">
        <v>178</v>
      </c>
    </row>
    <row r="106" spans="2:7" ht="45" customHeight="1">
      <c r="B106" s="80" t="s">
        <v>275</v>
      </c>
      <c r="C106" s="83"/>
      <c r="D106" s="58" t="s">
        <v>139</v>
      </c>
      <c r="E106" s="55"/>
      <c r="F106" s="3" t="str">
        <f>VLOOKUP($D$7,'Source Data'!$A$2:$EU$28,107,FALSE)</f>
        <v>N/A</v>
      </c>
      <c r="G106" s="4" t="s">
        <v>178</v>
      </c>
    </row>
    <row r="107" spans="2:7" ht="45" customHeight="1">
      <c r="B107" s="80" t="s">
        <v>276</v>
      </c>
      <c r="C107" s="83"/>
      <c r="D107" s="58" t="s">
        <v>140</v>
      </c>
      <c r="E107" s="55"/>
      <c r="F107" s="3" t="str">
        <f>VLOOKUP($D$7,'Source Data'!$A$2:$EU$28,108,FALSE)</f>
        <v>N/A</v>
      </c>
      <c r="G107" s="4" t="s">
        <v>178</v>
      </c>
    </row>
    <row r="108" spans="2:7" ht="45" customHeight="1">
      <c r="B108" s="80" t="s">
        <v>277</v>
      </c>
      <c r="C108" s="83"/>
      <c r="D108" s="58" t="s">
        <v>141</v>
      </c>
      <c r="E108" s="55"/>
      <c r="F108" s="3" t="str">
        <f>VLOOKUP($D$7,'Source Data'!$A$2:$EU$28,109,FALSE)</f>
        <v>N/A</v>
      </c>
      <c r="G108" s="4"/>
    </row>
    <row r="109" spans="2:7" ht="45" customHeight="1">
      <c r="B109" s="80">
        <v>17.2</v>
      </c>
      <c r="C109" s="3"/>
      <c r="D109" s="54" t="s">
        <v>142</v>
      </c>
      <c r="E109" s="55" t="s">
        <v>245</v>
      </c>
      <c r="F109" s="3" t="str">
        <f>VLOOKUP($D$7,'Source Data'!$A$2:$EU$28,110,FALSE)</f>
        <v>N/A</v>
      </c>
      <c r="G109" s="4" t="s">
        <v>178</v>
      </c>
    </row>
    <row r="110" spans="2:7" ht="45" customHeight="1">
      <c r="B110" s="80">
        <v>17.3</v>
      </c>
      <c r="C110" s="3"/>
      <c r="D110" s="54" t="s">
        <v>143</v>
      </c>
      <c r="E110" s="55" t="s">
        <v>245</v>
      </c>
      <c r="F110" s="3" t="str">
        <f>VLOOKUP($D$7,'Source Data'!$A$2:$EU$28,111,FALSE)</f>
        <v>N/A</v>
      </c>
      <c r="G110" s="4" t="s">
        <v>178</v>
      </c>
    </row>
    <row r="111" spans="2:7" ht="45" customHeight="1">
      <c r="B111" s="80">
        <v>17.399999999999999</v>
      </c>
      <c r="C111" s="3"/>
      <c r="D111" s="54" t="s">
        <v>144</v>
      </c>
      <c r="E111" s="55" t="s">
        <v>245</v>
      </c>
      <c r="F111" s="3" t="str">
        <f>VLOOKUP($D$7,'Source Data'!$A$2:$EU$28,112,FALSE)</f>
        <v>N/A</v>
      </c>
      <c r="G111" s="4" t="s">
        <v>178</v>
      </c>
    </row>
    <row r="112" spans="2:7" ht="45" customHeight="1">
      <c r="B112" s="80">
        <v>17.5</v>
      </c>
      <c r="C112" s="3"/>
      <c r="D112" s="54" t="s">
        <v>145</v>
      </c>
      <c r="E112" s="55" t="s">
        <v>245</v>
      </c>
      <c r="F112" s="3" t="str">
        <f>VLOOKUP($D$7,'Source Data'!$A$2:$EU$28,113,FALSE)</f>
        <v>N/A</v>
      </c>
      <c r="G112" s="4" t="s">
        <v>178</v>
      </c>
    </row>
    <row r="113" spans="2:7" ht="45" customHeight="1">
      <c r="B113" s="80">
        <v>17.600000000000001</v>
      </c>
      <c r="C113" s="3"/>
      <c r="D113" s="54" t="s">
        <v>146</v>
      </c>
      <c r="E113" s="55" t="s">
        <v>245</v>
      </c>
      <c r="F113" s="3" t="str">
        <f>VLOOKUP($D$7,'Source Data'!$A$2:$EU$28,114,FALSE)</f>
        <v>N/A</v>
      </c>
      <c r="G113" s="4" t="s">
        <v>178</v>
      </c>
    </row>
    <row r="114" spans="2:7" ht="45" customHeight="1">
      <c r="B114" s="81">
        <v>18</v>
      </c>
      <c r="C114" s="3" t="s">
        <v>278</v>
      </c>
      <c r="D114" s="56" t="s">
        <v>147</v>
      </c>
      <c r="E114" s="55"/>
      <c r="F114" s="3"/>
      <c r="G114" s="4"/>
    </row>
    <row r="115" spans="2:7" ht="45" customHeight="1">
      <c r="B115" s="80">
        <v>18.100000000000001</v>
      </c>
      <c r="C115" s="3"/>
      <c r="D115" s="54" t="s">
        <v>148</v>
      </c>
      <c r="E115" s="55"/>
      <c r="F115" s="3" t="str">
        <f>VLOOKUP($D$7,'Source Data'!$A$2:$EU$28,116,FALSE)</f>
        <v>Yes</v>
      </c>
      <c r="G115" s="4" t="s">
        <v>178</v>
      </c>
    </row>
    <row r="116" spans="2:7" ht="45" customHeight="1">
      <c r="B116" s="80">
        <v>18.2</v>
      </c>
      <c r="C116" s="3" t="s">
        <v>279</v>
      </c>
      <c r="D116" s="54" t="s">
        <v>149</v>
      </c>
      <c r="E116" s="55" t="s">
        <v>245</v>
      </c>
      <c r="F116" s="3">
        <f>VLOOKUP($D$7,'Source Data'!$A$2:$EU$28,117,FALSE)</f>
        <v>400</v>
      </c>
      <c r="G116" s="4"/>
    </row>
    <row r="117" spans="2:7" ht="45" customHeight="1">
      <c r="B117" s="80">
        <v>18.3</v>
      </c>
      <c r="C117" s="3" t="s">
        <v>279</v>
      </c>
      <c r="D117" s="54" t="s">
        <v>150</v>
      </c>
      <c r="E117" s="55" t="s">
        <v>245</v>
      </c>
      <c r="F117" s="3" t="str">
        <f>VLOOKUP($D$7,'Source Data'!$A$2:$EU$28,118,FALSE)</f>
        <v>xxxxxxxxxxx</v>
      </c>
      <c r="G117" s="4"/>
    </row>
    <row r="118" spans="2:7" ht="45" customHeight="1">
      <c r="B118" s="80">
        <v>18.399999999999999</v>
      </c>
      <c r="C118" s="3" t="s">
        <v>279</v>
      </c>
      <c r="D118" s="54" t="s">
        <v>151</v>
      </c>
      <c r="E118" s="55" t="s">
        <v>245</v>
      </c>
      <c r="F118" s="3" t="str">
        <f>VLOOKUP($D$7,'Source Data'!$A$2:$EU$28,119,FALSE)</f>
        <v>≥ 320</v>
      </c>
      <c r="G118" s="4"/>
    </row>
    <row r="119" spans="2:7" ht="45" customHeight="1">
      <c r="B119" s="80">
        <v>18.5</v>
      </c>
      <c r="C119" s="3" t="s">
        <v>279</v>
      </c>
      <c r="D119" s="54" t="s">
        <v>152</v>
      </c>
      <c r="E119" s="55" t="s">
        <v>245</v>
      </c>
      <c r="F119" s="3" t="str">
        <f>VLOOKUP($D$7,'Source Data'!$A$2:$EU$28,110,FALSE)</f>
        <v>N/A</v>
      </c>
      <c r="G119" s="4"/>
    </row>
    <row r="120" spans="2:7" ht="45" customHeight="1">
      <c r="B120" s="80">
        <v>18.600000000000001</v>
      </c>
      <c r="C120" s="3" t="s">
        <v>279</v>
      </c>
      <c r="D120" s="54" t="s">
        <v>145</v>
      </c>
      <c r="E120" s="55" t="s">
        <v>245</v>
      </c>
      <c r="F120" s="3" t="str">
        <f>VLOOKUP($D$7,'Source Data'!$A$2:$EU$28,111,FALSE)</f>
        <v>N/A</v>
      </c>
      <c r="G120" s="4"/>
    </row>
    <row r="121" spans="2:7" ht="45" customHeight="1">
      <c r="B121" s="81">
        <v>19</v>
      </c>
      <c r="C121" s="3" t="s">
        <v>280</v>
      </c>
      <c r="D121" s="56" t="s">
        <v>153</v>
      </c>
      <c r="E121" s="55"/>
      <c r="F121" s="3"/>
      <c r="G121" s="4"/>
    </row>
    <row r="122" spans="2:7" ht="45" customHeight="1">
      <c r="B122" s="80">
        <v>19.100000000000001</v>
      </c>
      <c r="C122" s="3"/>
      <c r="D122" s="54" t="s">
        <v>154</v>
      </c>
      <c r="E122" s="55"/>
      <c r="F122" s="3" t="str">
        <f>VLOOKUP($D$7,'Source Data'!$A$2:$EU$28,123,FALSE)</f>
        <v>Yes</v>
      </c>
      <c r="G122" s="4"/>
    </row>
    <row r="123" spans="2:7" ht="45" customHeight="1">
      <c r="B123" s="80">
        <v>19.2</v>
      </c>
      <c r="C123" s="3"/>
      <c r="D123" s="54" t="s">
        <v>155</v>
      </c>
      <c r="E123" s="55" t="s">
        <v>245</v>
      </c>
      <c r="F123" s="3" t="str">
        <f>VLOOKUP($D$7,'Source Data'!$A$2:$EU$28,124,FALSE)</f>
        <v xml:space="preserve">≥ 30 </v>
      </c>
      <c r="G123" s="4"/>
    </row>
    <row r="124" spans="2:7" ht="45" customHeight="1">
      <c r="B124" s="81">
        <v>20</v>
      </c>
      <c r="C124" s="3" t="s">
        <v>281</v>
      </c>
      <c r="D124" s="56" t="s">
        <v>156</v>
      </c>
      <c r="E124" s="55"/>
      <c r="F124" s="3"/>
      <c r="G124" s="4"/>
    </row>
    <row r="125" spans="2:7" ht="45" customHeight="1">
      <c r="B125" s="80">
        <v>20.100000000000001</v>
      </c>
      <c r="C125" s="3"/>
      <c r="D125" s="54" t="s">
        <v>157</v>
      </c>
      <c r="E125" s="55"/>
      <c r="F125" s="3" t="str">
        <f>VLOOKUP($D$7,'Source Data'!$A$2:$EU$28,126,FALSE)</f>
        <v>316 Stainless Steel or Mild Steel</v>
      </c>
      <c r="G125" s="4"/>
    </row>
    <row r="126" spans="2:7" ht="45" customHeight="1">
      <c r="B126" s="80">
        <v>20.2</v>
      </c>
      <c r="C126" s="3"/>
      <c r="D126" s="54" t="s">
        <v>158</v>
      </c>
      <c r="E126" s="55" t="s">
        <v>245</v>
      </c>
      <c r="F126" s="3" t="str">
        <f>VLOOKUP($D$7,'Source Data'!$A$2:$EU$28,127,FALSE)</f>
        <v>≥ 30</v>
      </c>
      <c r="G126" s="4"/>
    </row>
    <row r="127" spans="2:7" ht="45" customHeight="1">
      <c r="B127" s="80">
        <v>20.3</v>
      </c>
      <c r="C127" s="3"/>
      <c r="D127" s="54" t="s">
        <v>159</v>
      </c>
      <c r="E127" s="55"/>
      <c r="F127" s="3" t="str">
        <f>VLOOKUP($D$7,'Source Data'!$A$2:$EU$28,128,FALSE)</f>
        <v>316 Stainless Steel or Mild Steel</v>
      </c>
      <c r="G127" s="4"/>
    </row>
    <row r="128" spans="2:7" ht="45" customHeight="1">
      <c r="B128" s="80">
        <v>20.399999999999999</v>
      </c>
      <c r="C128" s="3"/>
      <c r="D128" s="54" t="s">
        <v>160</v>
      </c>
      <c r="E128" s="55" t="s">
        <v>245</v>
      </c>
      <c r="F128" s="3" t="str">
        <f>VLOOKUP($D$7,'Source Data'!$A$2:$EU$28,129,FALSE)</f>
        <v xml:space="preserve">M12 x 25 </v>
      </c>
      <c r="G128" s="4"/>
    </row>
    <row r="129" spans="2:7" ht="45" customHeight="1">
      <c r="B129" s="80">
        <v>20.5</v>
      </c>
      <c r="C129" s="3"/>
      <c r="D129" s="54" t="s">
        <v>161</v>
      </c>
      <c r="E129" s="55"/>
      <c r="F129" s="3" t="str">
        <f>VLOOKUP($D$7,'Source Data'!$A$2:$EU$28,130,FALSE)</f>
        <v>Yes</v>
      </c>
      <c r="G129" s="4"/>
    </row>
    <row r="130" spans="2:7" ht="45" customHeight="1">
      <c r="B130" s="81">
        <v>21</v>
      </c>
      <c r="C130" s="3" t="s">
        <v>282</v>
      </c>
      <c r="D130" s="56" t="s">
        <v>162</v>
      </c>
      <c r="E130" s="55"/>
      <c r="F130" s="3"/>
      <c r="G130" s="4"/>
    </row>
    <row r="131" spans="2:7" ht="45" customHeight="1">
      <c r="B131" s="80">
        <v>21.1</v>
      </c>
      <c r="C131" s="3"/>
      <c r="D131" s="54" t="s">
        <v>163</v>
      </c>
      <c r="E131" s="55"/>
      <c r="F131" s="3" t="str">
        <f>VLOOKUP($D$7,'Source Data'!$A$2:$EU$28,132,FALSE)</f>
        <v>Yes</v>
      </c>
      <c r="G131" s="4"/>
    </row>
    <row r="132" spans="2:7" ht="45" customHeight="1">
      <c r="B132" s="80">
        <v>21.2</v>
      </c>
      <c r="C132" s="3" t="s">
        <v>283</v>
      </c>
      <c r="D132" s="54" t="s">
        <v>145</v>
      </c>
      <c r="E132" s="55" t="s">
        <v>245</v>
      </c>
      <c r="F132" s="3">
        <f>VLOOKUP($D$7,'Source Data'!$A$2:$EU$28,133,FALSE)</f>
        <v>14</v>
      </c>
      <c r="G132" s="4"/>
    </row>
    <row r="133" spans="2:7" ht="45" customHeight="1">
      <c r="B133" s="80">
        <v>21.3</v>
      </c>
      <c r="C133" s="3" t="s">
        <v>283</v>
      </c>
      <c r="D133" s="54" t="s">
        <v>164</v>
      </c>
      <c r="E133" s="55" t="s">
        <v>245</v>
      </c>
      <c r="F133" s="3" t="str">
        <f>VLOOKUP($D$7,'Source Data'!$A$2:$EU$28,134,FALSE)</f>
        <v>≥ 200</v>
      </c>
      <c r="G133" s="4"/>
    </row>
    <row r="134" spans="2:7" ht="45" customHeight="1">
      <c r="B134" s="80">
        <v>21.4</v>
      </c>
      <c r="C134" s="3" t="s">
        <v>283</v>
      </c>
      <c r="D134" s="54" t="s">
        <v>165</v>
      </c>
      <c r="E134" s="55" t="s">
        <v>245</v>
      </c>
      <c r="F134" s="3" t="str">
        <f>VLOOKUP($D$7,'Source Data'!$A$2:$EU$28,135,FALSE)</f>
        <v>≥ 300</v>
      </c>
      <c r="G134" s="4"/>
    </row>
    <row r="135" spans="2:7" ht="45" customHeight="1">
      <c r="B135" s="80">
        <v>21.5</v>
      </c>
      <c r="C135" s="3" t="s">
        <v>283</v>
      </c>
      <c r="D135" s="54" t="s">
        <v>166</v>
      </c>
      <c r="E135" s="55" t="s">
        <v>245</v>
      </c>
      <c r="F135" s="3" t="str">
        <f>VLOOKUP($D$7,'Source Data'!$A$2:$EU$28,136,FALSE)</f>
        <v>≥ 150</v>
      </c>
      <c r="G135" s="4"/>
    </row>
    <row r="136" spans="2:7" ht="45" customHeight="1">
      <c r="B136" s="81">
        <v>22</v>
      </c>
      <c r="C136" s="60">
        <v>3.4</v>
      </c>
      <c r="D136" s="61" t="s">
        <v>173</v>
      </c>
      <c r="E136" s="62"/>
      <c r="F136" s="60"/>
      <c r="G136" s="63"/>
    </row>
    <row r="137" spans="2:7" ht="45" customHeight="1">
      <c r="B137" s="80">
        <v>22.1</v>
      </c>
      <c r="C137" s="3"/>
      <c r="D137" s="64" t="s">
        <v>174</v>
      </c>
      <c r="E137" s="55"/>
      <c r="F137" s="3"/>
      <c r="G137" s="4"/>
    </row>
    <row r="138" spans="2:7" ht="45" customHeight="1">
      <c r="B138" s="80">
        <v>22.2</v>
      </c>
      <c r="C138" s="3"/>
      <c r="D138" s="64" t="s">
        <v>169</v>
      </c>
      <c r="E138" s="55"/>
      <c r="F138" s="3" t="str">
        <f>VLOOKUP($D$7,'Source Data'!$A$2:$EU$28,145,FALSE)</f>
        <v>xxxxxxxxxxx</v>
      </c>
      <c r="G138" s="4"/>
    </row>
    <row r="139" spans="2:7" ht="45" customHeight="1">
      <c r="B139" s="80">
        <v>22.3</v>
      </c>
      <c r="C139" s="3"/>
      <c r="D139" s="64" t="s">
        <v>170</v>
      </c>
      <c r="E139" s="55"/>
      <c r="F139" s="3" t="str">
        <f>VLOOKUP($D$7,'Source Data'!$A$2:$EU$28,146,FALSE)</f>
        <v>xxxxxxxxxxx</v>
      </c>
      <c r="G139" s="4"/>
    </row>
    <row r="140" spans="2:7" ht="45" customHeight="1">
      <c r="B140" s="80">
        <v>22.4</v>
      </c>
      <c r="C140" s="84"/>
      <c r="D140" s="64" t="s">
        <v>171</v>
      </c>
      <c r="E140" s="65"/>
      <c r="F140" s="3" t="str">
        <f>VLOOKUP($D$7,'Source Data'!$A$2:$EU$28,147,FALSE)</f>
        <v>xxxxxxxxxxx</v>
      </c>
      <c r="G140" s="66"/>
    </row>
    <row r="141" spans="2:7" ht="45" customHeight="1">
      <c r="B141" s="80">
        <v>22.5</v>
      </c>
      <c r="C141" s="84"/>
      <c r="D141" s="64" t="s">
        <v>172</v>
      </c>
      <c r="E141" s="65"/>
      <c r="F141" s="3" t="str">
        <f>VLOOKUP($D$7,'Source Data'!$A$2:$EU$28,148,FALSE)</f>
        <v>Azure Blue</v>
      </c>
      <c r="G141" s="66"/>
    </row>
    <row r="142" spans="2:7" ht="151.15">
      <c r="B142" s="85">
        <v>23</v>
      </c>
      <c r="C142" s="84">
        <v>4.2</v>
      </c>
      <c r="D142" s="61" t="s">
        <v>284</v>
      </c>
      <c r="E142" s="65"/>
      <c r="F142" s="3" t="str">
        <f>VLOOKUP($D$7,'Source Data'!$A$2:$EU$28,149,FALSE)</f>
        <v>Report Numbers</v>
      </c>
      <c r="G142" s="66"/>
    </row>
    <row r="143" spans="2:7" ht="241.9" thickBot="1">
      <c r="B143" s="86">
        <v>24</v>
      </c>
      <c r="C143" s="67">
        <v>4.3</v>
      </c>
      <c r="D143" s="68" t="s">
        <v>285</v>
      </c>
      <c r="E143" s="69"/>
      <c r="F143" s="67" t="str">
        <f>VLOOKUP($D$7,'Source Data'!$A$2:$EU$28,150,FALSE)</f>
        <v>Report Numbers</v>
      </c>
      <c r="G143" s="70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&amp;CSWER Isolation, 100kVA 22kV/ 19kV* (Coastal, Ester Oil Only)</oddHeader>
  </headerFooter>
  <rowBreaks count="4" manualBreakCount="4">
    <brk id="37" min="1" max="6" man="1"/>
    <brk id="68" min="1" max="6" man="1"/>
    <brk id="102" min="1" max="6" man="1"/>
    <brk id="123" min="1" max="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6024B-795D-4188-8DA7-FC43E95C7D8C}">
  <sheetPr>
    <pageSetUpPr fitToPage="1"/>
  </sheetPr>
  <dimension ref="B1:G143"/>
  <sheetViews>
    <sheetView topLeftCell="A73" zoomScale="85" zoomScaleNormal="85" zoomScaleSheetLayoutView="70" workbookViewId="0">
      <selection activeCell="D79" sqref="D79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28" bestFit="1" customWidth="1"/>
    <col min="6" max="6" width="22.85546875" customWidth="1"/>
    <col min="7" max="7" width="30.85546875" customWidth="1"/>
  </cols>
  <sheetData>
    <row r="1" spans="2:7" ht="15" thickBot="1"/>
    <row r="2" spans="2:7">
      <c r="B2" s="29"/>
      <c r="C2" s="30"/>
      <c r="D2" s="30"/>
      <c r="E2" s="31"/>
      <c r="F2" s="30"/>
      <c r="G2" s="32"/>
    </row>
    <row r="3" spans="2:7">
      <c r="B3" s="33"/>
      <c r="C3" s="34"/>
      <c r="D3" s="34"/>
      <c r="E3" s="35"/>
      <c r="F3" s="91" t="s">
        <v>226</v>
      </c>
      <c r="G3" s="92"/>
    </row>
    <row r="4" spans="2:7">
      <c r="B4" s="33"/>
      <c r="C4" s="34"/>
      <c r="D4" s="34"/>
      <c r="E4" s="35"/>
      <c r="F4" s="91" t="str">
        <f>'List of Items &amp; Enquiry number'!B14</f>
        <v>Enquiry Number: 123456XYZ</v>
      </c>
      <c r="G4" s="92"/>
    </row>
    <row r="5" spans="2:7">
      <c r="B5" s="33"/>
      <c r="C5" s="34"/>
      <c r="D5" s="34"/>
      <c r="E5" s="35"/>
      <c r="F5" s="34"/>
      <c r="G5" s="36"/>
    </row>
    <row r="6" spans="2:7" ht="28.9">
      <c r="B6" s="37"/>
      <c r="C6" s="38"/>
      <c r="D6" s="39" t="s">
        <v>227</v>
      </c>
      <c r="E6" s="40"/>
      <c r="F6" s="41"/>
      <c r="G6" s="42"/>
    </row>
    <row r="7" spans="2:7">
      <c r="B7" s="33"/>
      <c r="C7" s="34"/>
      <c r="D7" s="43" t="s">
        <v>34</v>
      </c>
      <c r="E7" s="35"/>
      <c r="F7" s="34"/>
      <c r="G7" s="36"/>
    </row>
    <row r="8" spans="2:7">
      <c r="B8" s="33"/>
      <c r="C8" s="34"/>
      <c r="D8" s="76" t="s">
        <v>228</v>
      </c>
      <c r="E8" s="34"/>
      <c r="F8" s="93" t="s">
        <v>229</v>
      </c>
      <c r="G8" s="94"/>
    </row>
    <row r="9" spans="2:7">
      <c r="B9" s="44" t="s">
        <v>230</v>
      </c>
      <c r="C9" s="1"/>
      <c r="D9" s="1"/>
      <c r="E9" s="1"/>
      <c r="F9" s="93"/>
      <c r="G9" s="94"/>
    </row>
    <row r="10" spans="2:7" ht="15" thickBot="1">
      <c r="B10" s="97" t="s">
        <v>231</v>
      </c>
      <c r="C10" s="98"/>
      <c r="D10" s="98"/>
      <c r="E10" s="45"/>
      <c r="F10" s="95"/>
      <c r="G10" s="96"/>
    </row>
    <row r="11" spans="2:7" ht="28.15" customHeight="1" thickBot="1">
      <c r="B11" s="49" t="s">
        <v>232</v>
      </c>
      <c r="C11" s="78" t="s">
        <v>233</v>
      </c>
      <c r="D11" s="47" t="s">
        <v>15</v>
      </c>
      <c r="E11" s="48"/>
      <c r="F11" s="49" t="s">
        <v>234</v>
      </c>
      <c r="G11" s="46" t="s">
        <v>235</v>
      </c>
    </row>
    <row r="12" spans="2:7" ht="21" customHeight="1">
      <c r="B12" s="79">
        <v>1</v>
      </c>
      <c r="C12" s="50"/>
      <c r="D12" s="51" t="s">
        <v>54</v>
      </c>
      <c r="E12" s="52"/>
      <c r="F12" s="50"/>
      <c r="G12" s="53"/>
    </row>
    <row r="13" spans="2:7" ht="45" customHeight="1">
      <c r="B13" s="80">
        <v>1.1000000000000001</v>
      </c>
      <c r="C13" s="3"/>
      <c r="D13" s="54" t="s">
        <v>55</v>
      </c>
      <c r="E13" s="55"/>
      <c r="F13" s="3" t="str">
        <f>VLOOKUP($D$7,'Source Data'!$A$2:$EU$28,3,FALSE)</f>
        <v>xxxxxxxxxxx</v>
      </c>
      <c r="G13" s="4"/>
    </row>
    <row r="14" spans="2:7" ht="45" customHeight="1">
      <c r="B14" s="80">
        <v>1.2000000000000002</v>
      </c>
      <c r="C14" s="3"/>
      <c r="D14" s="54" t="s">
        <v>56</v>
      </c>
      <c r="E14" s="55"/>
      <c r="F14" s="3" t="str">
        <f>VLOOKUP($D$7,'Source Data'!$A$2:$EU$28,4,FALSE)</f>
        <v>xxxxxxxxxxx</v>
      </c>
      <c r="G14" s="4"/>
    </row>
    <row r="15" spans="2:7" ht="45" customHeight="1">
      <c r="B15" s="80">
        <v>1.3</v>
      </c>
      <c r="C15" s="3"/>
      <c r="D15" s="54" t="s">
        <v>58</v>
      </c>
      <c r="E15" s="55"/>
      <c r="F15" s="3" t="str">
        <f>VLOOKUP($D$7,'Source Data'!$A$2:$EU$28,6,FALSE)</f>
        <v>xxxxxxxxxxx</v>
      </c>
      <c r="G15" s="4"/>
    </row>
    <row r="16" spans="2:7" ht="45" customHeight="1">
      <c r="B16" s="80">
        <v>1.4</v>
      </c>
      <c r="C16" s="3"/>
      <c r="D16" s="54" t="s">
        <v>236</v>
      </c>
      <c r="E16" s="55"/>
      <c r="F16" s="3" t="str">
        <f>VLOOKUP($D$7,'Source Data'!$A$2:$EU$28,7,FALSE)</f>
        <v>xxxxxxxxxxx</v>
      </c>
      <c r="G16" s="4"/>
    </row>
    <row r="17" spans="2:7" ht="45" customHeight="1">
      <c r="B17" s="80">
        <v>1.5</v>
      </c>
      <c r="C17" s="3"/>
      <c r="D17" s="54" t="s">
        <v>237</v>
      </c>
      <c r="E17" s="55"/>
      <c r="F17" s="3" t="str">
        <f>VLOOKUP($D$7,'Source Data'!$A$2:$EU$28,8,FALSE)</f>
        <v>xxxxxxxxxxx</v>
      </c>
      <c r="G17" s="4"/>
    </row>
    <row r="18" spans="2:7" ht="45" customHeight="1">
      <c r="B18" s="80">
        <v>1.6</v>
      </c>
      <c r="C18" s="3"/>
      <c r="D18" s="54" t="s">
        <v>61</v>
      </c>
      <c r="E18" s="55"/>
      <c r="F18" s="3" t="str">
        <f>VLOOKUP($D$7,'Source Data'!$A$2:$EU$28,9,FALSE)</f>
        <v>Ester Oil</v>
      </c>
      <c r="G18" s="4"/>
    </row>
    <row r="19" spans="2:7" ht="24.6" customHeight="1">
      <c r="B19" s="81">
        <v>2</v>
      </c>
      <c r="C19" s="3" t="s">
        <v>238</v>
      </c>
      <c r="D19" s="56" t="s">
        <v>62</v>
      </c>
      <c r="E19" s="55"/>
      <c r="F19" s="3"/>
      <c r="G19" s="4"/>
    </row>
    <row r="20" spans="2:7" ht="45" customHeight="1">
      <c r="B20" s="80">
        <v>2.1</v>
      </c>
      <c r="C20" s="3"/>
      <c r="D20" s="54" t="s">
        <v>63</v>
      </c>
      <c r="E20" s="55" t="s">
        <v>239</v>
      </c>
      <c r="F20" s="3">
        <f>VLOOKUP($D$7,'Source Data'!$A$2:$EU$28,11,FALSE)</f>
        <v>100</v>
      </c>
      <c r="G20" s="4"/>
    </row>
    <row r="21" spans="2:7" ht="45" customHeight="1">
      <c r="B21" s="80">
        <v>2.2000000000000002</v>
      </c>
      <c r="C21" s="3"/>
      <c r="D21" s="54" t="s">
        <v>64</v>
      </c>
      <c r="E21" s="55" t="s">
        <v>240</v>
      </c>
      <c r="F21" s="3">
        <f>VLOOKUP($D$7,'Source Data'!$A$2:$EU$28,12,FALSE)</f>
        <v>33</v>
      </c>
      <c r="G21" s="4"/>
    </row>
    <row r="22" spans="2:7" ht="45" customHeight="1">
      <c r="B22" s="80">
        <v>2.3000000000000003</v>
      </c>
      <c r="C22" s="3"/>
      <c r="D22" s="54" t="s">
        <v>241</v>
      </c>
      <c r="E22" s="55" t="s">
        <v>240</v>
      </c>
      <c r="F22" s="3">
        <f>VLOOKUP($D$7,'Source Data'!$A$2:$EU$28,13,FALSE)</f>
        <v>19</v>
      </c>
      <c r="G22" s="4"/>
    </row>
    <row r="23" spans="2:7" ht="45" customHeight="1">
      <c r="B23" s="80">
        <v>2.4000000000000004</v>
      </c>
      <c r="C23" s="3"/>
      <c r="D23" s="54" t="s">
        <v>66</v>
      </c>
      <c r="E23" s="55" t="s">
        <v>242</v>
      </c>
      <c r="F23" s="3">
        <f>VLOOKUP($D$7,'Source Data'!$A$2:$EU$28,14,FALSE)</f>
        <v>50</v>
      </c>
      <c r="G23" s="4"/>
    </row>
    <row r="24" spans="2:7" ht="45" customHeight="1">
      <c r="B24" s="80">
        <v>2.5</v>
      </c>
      <c r="C24" s="3"/>
      <c r="D24" s="54" t="s">
        <v>67</v>
      </c>
      <c r="E24" s="55"/>
      <c r="F24" s="3" t="str">
        <f>VLOOKUP($D$7,'Source Data'!$A$2:$EU$28,15,FALSE)</f>
        <v>1ph</v>
      </c>
      <c r="G24" s="4"/>
    </row>
    <row r="25" spans="2:7" ht="45" customHeight="1">
      <c r="B25" s="80">
        <v>2.6</v>
      </c>
      <c r="C25" s="3"/>
      <c r="D25" s="54" t="s">
        <v>68</v>
      </c>
      <c r="E25" s="55"/>
      <c r="F25" s="3" t="str">
        <f>VLOOKUP($D$7,'Source Data'!$A$2:$EU$28,16,FALSE)</f>
        <v>N/A</v>
      </c>
      <c r="G25" s="4" t="s">
        <v>178</v>
      </c>
    </row>
    <row r="26" spans="2:7" ht="24.6" customHeight="1">
      <c r="B26" s="81">
        <v>3</v>
      </c>
      <c r="C26" s="3" t="s">
        <v>243</v>
      </c>
      <c r="D26" s="56" t="s">
        <v>69</v>
      </c>
      <c r="E26" s="55"/>
      <c r="F26" s="3"/>
      <c r="G26" s="4"/>
    </row>
    <row r="27" spans="2:7" ht="45" customHeight="1">
      <c r="B27" s="80">
        <v>3.1</v>
      </c>
      <c r="C27" s="3"/>
      <c r="D27" s="54" t="s">
        <v>70</v>
      </c>
      <c r="E27" s="55" t="s">
        <v>240</v>
      </c>
      <c r="F27" s="3">
        <f>VLOOKUP($D$7,'Source Data'!$A$2:$EU$28,18,FALSE)</f>
        <v>200</v>
      </c>
      <c r="G27" s="4"/>
    </row>
    <row r="28" spans="2:7" ht="45" customHeight="1">
      <c r="B28" s="80">
        <v>3.2</v>
      </c>
      <c r="C28" s="3"/>
      <c r="D28" s="54" t="s">
        <v>71</v>
      </c>
      <c r="E28" s="55" t="s">
        <v>240</v>
      </c>
      <c r="F28" s="3">
        <f>VLOOKUP($D$7,'Source Data'!$A$2:$EU$28,19,FALSE)</f>
        <v>200</v>
      </c>
      <c r="G28" s="4"/>
    </row>
    <row r="29" spans="2:7" ht="45" customHeight="1">
      <c r="B29" s="80">
        <v>3.3</v>
      </c>
      <c r="C29" s="3"/>
      <c r="D29" s="54" t="s">
        <v>72</v>
      </c>
      <c r="E29" s="55" t="s">
        <v>240</v>
      </c>
      <c r="F29" s="3">
        <f>VLOOKUP($D$7,'Source Data'!$A$2:$EU$28,20,FALSE)</f>
        <v>30</v>
      </c>
      <c r="G29" s="4"/>
    </row>
    <row r="30" spans="2:7" ht="45" customHeight="1">
      <c r="B30" s="80">
        <v>3.4</v>
      </c>
      <c r="C30" s="3"/>
      <c r="D30" s="54" t="s">
        <v>73</v>
      </c>
      <c r="E30" s="55" t="s">
        <v>240</v>
      </c>
      <c r="F30" s="3">
        <f>VLOOKUP($D$7,'Source Data'!$A$2:$EU$28,21,FALSE)</f>
        <v>70</v>
      </c>
      <c r="G30" s="4"/>
    </row>
    <row r="31" spans="2:7" ht="45" customHeight="1">
      <c r="B31" s="80">
        <v>3.5</v>
      </c>
      <c r="C31" s="3"/>
      <c r="D31" s="54" t="s">
        <v>74</v>
      </c>
      <c r="E31" s="55" t="s">
        <v>240</v>
      </c>
      <c r="F31" s="3">
        <f>VLOOKUP($D$7,'Source Data'!$A$2:$EU$28,22,FALSE)</f>
        <v>8</v>
      </c>
      <c r="G31" s="4"/>
    </row>
    <row r="32" spans="2:7" ht="33" customHeight="1">
      <c r="B32" s="81">
        <v>4</v>
      </c>
      <c r="C32" s="3" t="s">
        <v>244</v>
      </c>
      <c r="D32" s="56" t="s">
        <v>75</v>
      </c>
      <c r="E32" s="55"/>
      <c r="F32" s="3"/>
      <c r="G32" s="4"/>
    </row>
    <row r="33" spans="2:7" ht="45" customHeight="1">
      <c r="B33" s="80">
        <v>4.0999999999999996</v>
      </c>
      <c r="C33" s="3"/>
      <c r="D33" s="54" t="s">
        <v>76</v>
      </c>
      <c r="E33" s="55"/>
      <c r="F33" s="3" t="str">
        <f>VLOOKUP($D$7,'Source Data'!$A$2:$EU$28,24,FALSE)</f>
        <v>xxxxxxxxxxx</v>
      </c>
      <c r="G33" s="4"/>
    </row>
    <row r="34" spans="2:7" ht="45" customHeight="1">
      <c r="B34" s="80">
        <v>4.1999999999999993</v>
      </c>
      <c r="C34" s="3"/>
      <c r="D34" s="54" t="s">
        <v>77</v>
      </c>
      <c r="E34" s="55"/>
      <c r="F34" s="3" t="str">
        <f>VLOOKUP($D$7,'Source Data'!$A$2:$EU$28,25,FALSE)</f>
        <v>Grade 3</v>
      </c>
      <c r="G34" s="4"/>
    </row>
    <row r="35" spans="2:7" ht="45" customHeight="1">
      <c r="B35" s="80">
        <v>4.3</v>
      </c>
      <c r="C35" s="3"/>
      <c r="D35" s="54" t="s">
        <v>78</v>
      </c>
      <c r="E35" s="55" t="s">
        <v>245</v>
      </c>
      <c r="F35" s="3" t="str">
        <f>VLOOKUP($D$7,'Source Data'!$A$2:$EU$28,26,FALSE)</f>
        <v>&gt; 0.125</v>
      </c>
      <c r="G35" s="4"/>
    </row>
    <row r="36" spans="2:7" ht="45" customHeight="1">
      <c r="B36" s="80">
        <v>4.3999999999999995</v>
      </c>
      <c r="C36" s="3"/>
      <c r="D36" s="54" t="s">
        <v>79</v>
      </c>
      <c r="E36" s="55"/>
      <c r="F36" s="3" t="str">
        <f>VLOOKUP($D$7,'Source Data'!$A$2:$EU$28,27,FALSE)</f>
        <v>xxxxxxxxxxx</v>
      </c>
      <c r="G36" s="4"/>
    </row>
    <row r="37" spans="2:7" ht="45" customHeight="1">
      <c r="B37" s="80">
        <v>4.5</v>
      </c>
      <c r="C37" s="3"/>
      <c r="D37" s="54" t="s">
        <v>80</v>
      </c>
      <c r="E37" s="55"/>
      <c r="F37" s="3" t="str">
        <f>VLOOKUP($D$7,'Source Data'!$A$2:$EU$28,28,FALSE)</f>
        <v>xxxxxxxxxxx</v>
      </c>
      <c r="G37" s="4"/>
    </row>
    <row r="38" spans="2:7" ht="45" customHeight="1">
      <c r="B38" s="80">
        <v>4.5999999999999996</v>
      </c>
      <c r="C38" s="3"/>
      <c r="D38" s="54" t="s">
        <v>81</v>
      </c>
      <c r="E38" s="55" t="s">
        <v>240</v>
      </c>
      <c r="F38" s="3">
        <f>VLOOKUP($D$7,'Source Data'!$A$2:$EU$28,29,FALSE)</f>
        <v>21</v>
      </c>
      <c r="G38" s="4"/>
    </row>
    <row r="39" spans="2:7" ht="45" customHeight="1">
      <c r="B39" s="80">
        <v>4.7</v>
      </c>
      <c r="C39" s="3"/>
      <c r="D39" s="54" t="s">
        <v>82</v>
      </c>
      <c r="E39" s="55" t="s">
        <v>240</v>
      </c>
      <c r="F39" s="3">
        <f>VLOOKUP($D$7,'Source Data'!$A$2:$EU$28,30,FALSE)</f>
        <v>8</v>
      </c>
      <c r="G39" s="4"/>
    </row>
    <row r="40" spans="2:7" ht="45" customHeight="1">
      <c r="B40" s="80">
        <v>4.8</v>
      </c>
      <c r="C40" s="3"/>
      <c r="D40" s="54" t="s">
        <v>246</v>
      </c>
      <c r="E40" s="55" t="s">
        <v>247</v>
      </c>
      <c r="F40" s="3" t="str">
        <f>VLOOKUP($D$7,'Source Data'!$A$2:$EU$28,31,FALSE)</f>
        <v>&lt;5</v>
      </c>
      <c r="G40" s="4"/>
    </row>
    <row r="41" spans="2:7" ht="45" customHeight="1">
      <c r="B41" s="81">
        <v>5</v>
      </c>
      <c r="C41" s="3" t="s">
        <v>248</v>
      </c>
      <c r="D41" s="56" t="s">
        <v>84</v>
      </c>
      <c r="E41" s="55"/>
      <c r="F41" s="3"/>
      <c r="G41" s="4"/>
    </row>
    <row r="42" spans="2:7" ht="45" customHeight="1">
      <c r="B42" s="80">
        <v>5.0999999999999996</v>
      </c>
      <c r="C42" s="3"/>
      <c r="D42" s="54" t="s">
        <v>85</v>
      </c>
      <c r="E42" s="55" t="s">
        <v>247</v>
      </c>
      <c r="F42" s="3" t="str">
        <f>VLOOKUP($D$7,'Source Data'!$A$2:$EU$28,33,FALSE)</f>
        <v>&lt; 5</v>
      </c>
      <c r="G42" s="4"/>
    </row>
    <row r="43" spans="2:7" ht="45" customHeight="1">
      <c r="B43" s="80">
        <v>5.1999999999999993</v>
      </c>
      <c r="C43" s="3"/>
      <c r="D43" s="54" t="s">
        <v>86</v>
      </c>
      <c r="E43" s="55" t="s">
        <v>247</v>
      </c>
      <c r="F43" s="3" t="str">
        <f>VLOOKUP($D$7,'Source Data'!$A$2:$EU$28,34,FALSE)</f>
        <v xml:space="preserve">&lt; 5 </v>
      </c>
      <c r="G43" s="4"/>
    </row>
    <row r="44" spans="2:7" ht="45" customHeight="1">
      <c r="B44" s="80">
        <v>5.3</v>
      </c>
      <c r="C44" s="3"/>
      <c r="D44" s="54" t="s">
        <v>87</v>
      </c>
      <c r="E44" s="55"/>
      <c r="F44" s="3" t="str">
        <f>VLOOKUP($D$7,'Source Data'!$A$2:$EU$28,35,FALSE)</f>
        <v>xxxxxxxxxxx</v>
      </c>
      <c r="G44" s="4"/>
    </row>
    <row r="45" spans="2:7" ht="45" customHeight="1">
      <c r="B45" s="80">
        <v>5.3999999999999995</v>
      </c>
      <c r="C45" s="3"/>
      <c r="D45" s="54" t="s">
        <v>88</v>
      </c>
      <c r="E45" s="55"/>
      <c r="F45" s="3" t="str">
        <f>VLOOKUP($D$7,'Source Data'!$A$2:$EU$28,36,FALSE)</f>
        <v>xxxxxxxxxxx</v>
      </c>
      <c r="G45" s="4"/>
    </row>
    <row r="46" spans="2:7" ht="27" customHeight="1">
      <c r="B46" s="81">
        <v>6</v>
      </c>
      <c r="C46" s="3" t="s">
        <v>249</v>
      </c>
      <c r="D46" s="56" t="s">
        <v>89</v>
      </c>
      <c r="E46" s="55"/>
      <c r="F46" s="3"/>
      <c r="G46" s="4"/>
    </row>
    <row r="47" spans="2:7" ht="45" customHeight="1">
      <c r="B47" s="80">
        <v>6.1</v>
      </c>
      <c r="C47" s="3"/>
      <c r="D47" s="54" t="s">
        <v>90</v>
      </c>
      <c r="E47" s="55"/>
      <c r="F47" s="3" t="str">
        <f>VLOOKUP($D$7,'Source Data'!$A$2:$EU$28,38,FALSE)</f>
        <v>xxxxxxxxxxx</v>
      </c>
      <c r="G47" s="4" t="s">
        <v>178</v>
      </c>
    </row>
    <row r="48" spans="2:7" ht="31.15" customHeight="1">
      <c r="B48" s="81">
        <v>7</v>
      </c>
      <c r="C48" s="3" t="s">
        <v>250</v>
      </c>
      <c r="D48" s="56" t="s">
        <v>100</v>
      </c>
      <c r="E48" s="55"/>
      <c r="F48" s="3"/>
      <c r="G48" s="4"/>
    </row>
    <row r="49" spans="2:7" ht="45" customHeight="1">
      <c r="B49" s="80">
        <v>7.1</v>
      </c>
      <c r="C49" s="3"/>
      <c r="D49" s="54" t="s">
        <v>93</v>
      </c>
      <c r="E49" s="55"/>
      <c r="F49" s="3" t="str">
        <f>VLOOKUP($D$7,'Source Data'!$A$2:$EU$28,49,FALSE)</f>
        <v>xxxxxxxxxxx</v>
      </c>
      <c r="G49" s="4"/>
    </row>
    <row r="50" spans="2:7" ht="45" customHeight="1">
      <c r="B50" s="80">
        <v>7.2</v>
      </c>
      <c r="C50" s="3"/>
      <c r="D50" s="54" t="s">
        <v>94</v>
      </c>
      <c r="E50" s="55"/>
      <c r="F50" s="3" t="str">
        <f>VLOOKUP($D$7,'Source Data'!$A$2:$EU$28,50,FALSE)</f>
        <v>xxxxxxxxxxx</v>
      </c>
      <c r="G50" s="4"/>
    </row>
    <row r="51" spans="2:7" ht="45" customHeight="1">
      <c r="B51" s="80">
        <v>7.3</v>
      </c>
      <c r="C51" s="3"/>
      <c r="D51" s="54" t="s">
        <v>95</v>
      </c>
      <c r="E51" s="55"/>
      <c r="F51" s="3" t="str">
        <f>VLOOKUP($D$7,'Source Data'!$A$2:$EU$28,51,FALSE)</f>
        <v>xxxxxxxxxxx</v>
      </c>
      <c r="G51" s="4"/>
    </row>
    <row r="52" spans="2:7" ht="45" customHeight="1">
      <c r="B52" s="80">
        <v>7.4</v>
      </c>
      <c r="C52" s="3"/>
      <c r="D52" s="54" t="s">
        <v>96</v>
      </c>
      <c r="E52" s="55" t="s">
        <v>251</v>
      </c>
      <c r="F52" s="3" t="str">
        <f>VLOOKUP($D$7,'Source Data'!$A$2:$EU$28,52,FALSE)</f>
        <v>≥ 31</v>
      </c>
      <c r="G52" s="4"/>
    </row>
    <row r="53" spans="2:7" ht="45" customHeight="1">
      <c r="B53" s="80">
        <v>7.5</v>
      </c>
      <c r="C53" s="3"/>
      <c r="D53" s="54" t="s">
        <v>97</v>
      </c>
      <c r="E53" s="55"/>
      <c r="F53" s="3" t="str">
        <f>VLOOKUP($D$7,'Source Data'!$A$2:$EU$28,53,FALSE)</f>
        <v>Base</v>
      </c>
      <c r="G53" s="4"/>
    </row>
    <row r="54" spans="2:7" ht="45" customHeight="1">
      <c r="B54" s="80">
        <v>7.6</v>
      </c>
      <c r="C54" s="3"/>
      <c r="D54" s="54" t="s">
        <v>98</v>
      </c>
      <c r="E54" s="55"/>
      <c r="F54" s="3" t="str">
        <f>VLOOKUP($D$7,'Source Data'!$A$2:$EU$28,54,FALSE)</f>
        <v>Draw lead</v>
      </c>
      <c r="G54" s="4"/>
    </row>
    <row r="55" spans="2:7" ht="45" customHeight="1">
      <c r="B55" s="80">
        <v>7.7</v>
      </c>
      <c r="C55" s="3"/>
      <c r="D55" s="54" t="s">
        <v>99</v>
      </c>
      <c r="E55" s="55"/>
      <c r="F55" s="3" t="str">
        <f>VLOOKUP($D$7,'Source Data'!$A$2:$EU$28,55,FALSE)</f>
        <v>M12</v>
      </c>
      <c r="G55" s="4"/>
    </row>
    <row r="56" spans="2:7" ht="45" customHeight="1">
      <c r="B56" s="80">
        <v>7.8</v>
      </c>
      <c r="C56" s="3" t="s">
        <v>250</v>
      </c>
      <c r="D56" s="56" t="s">
        <v>101</v>
      </c>
      <c r="E56" s="55"/>
      <c r="F56" s="3"/>
      <c r="G56" s="4"/>
    </row>
    <row r="57" spans="2:7" ht="45" customHeight="1">
      <c r="B57" s="80">
        <v>7.9</v>
      </c>
      <c r="C57" s="3"/>
      <c r="D57" s="2" t="s">
        <v>93</v>
      </c>
      <c r="E57" s="55"/>
      <c r="F57" s="3" t="str">
        <f>VLOOKUP($D$7,'Source Data'!$A$2:$EU$28,57,FALSE)</f>
        <v>xxxxxxxxxxx</v>
      </c>
      <c r="G57" s="4"/>
    </row>
    <row r="58" spans="2:7" ht="45" customHeight="1">
      <c r="B58" s="82" t="s">
        <v>252</v>
      </c>
      <c r="C58" s="3"/>
      <c r="D58" s="2" t="s">
        <v>94</v>
      </c>
      <c r="E58" s="55"/>
      <c r="F58" s="3" t="str">
        <f>VLOOKUP($D$7,'Source Data'!$A$2:$EU$28,58,FALSE)</f>
        <v>xxxxxxxxxxx</v>
      </c>
      <c r="G58" s="4"/>
    </row>
    <row r="59" spans="2:7" ht="45" customHeight="1">
      <c r="B59" s="82" t="s">
        <v>253</v>
      </c>
      <c r="C59" s="3"/>
      <c r="D59" s="2" t="s">
        <v>95</v>
      </c>
      <c r="E59" s="55"/>
      <c r="F59" s="3" t="str">
        <f>VLOOKUP($D$7,'Source Data'!$A$2:$EU$28,59,FALSE)</f>
        <v>xxxxxxxxxxx</v>
      </c>
      <c r="G59" s="4"/>
    </row>
    <row r="60" spans="2:7" ht="45" customHeight="1">
      <c r="B60" s="82" t="s">
        <v>254</v>
      </c>
      <c r="C60" s="3"/>
      <c r="D60" s="2" t="s">
        <v>96</v>
      </c>
      <c r="E60" s="55"/>
      <c r="F60" s="3" t="str">
        <f>VLOOKUP($D$7,'Source Data'!$A$2:$EU$28,60,FALSE)</f>
        <v>≥ 31</v>
      </c>
      <c r="G60" s="4"/>
    </row>
    <row r="61" spans="2:7" ht="45" customHeight="1">
      <c r="B61" s="82" t="s">
        <v>255</v>
      </c>
      <c r="C61" s="3"/>
      <c r="D61" s="2" t="s">
        <v>97</v>
      </c>
      <c r="E61" s="55"/>
      <c r="F61" s="3" t="str">
        <f>VLOOKUP($D$7,'Source Data'!$A$2:$EU$28,61,FALSE)</f>
        <v>Base</v>
      </c>
      <c r="G61" s="4"/>
    </row>
    <row r="62" spans="2:7" ht="45" customHeight="1">
      <c r="B62" s="82" t="s">
        <v>256</v>
      </c>
      <c r="C62" s="3"/>
      <c r="D62" s="2" t="s">
        <v>98</v>
      </c>
      <c r="E62" s="55"/>
      <c r="F62" s="3" t="str">
        <f>VLOOKUP($D$7,'Source Data'!$A$2:$EU$28,62,FALSE)</f>
        <v>Draw lead</v>
      </c>
      <c r="G62" s="4"/>
    </row>
    <row r="63" spans="2:7" ht="45" customHeight="1">
      <c r="B63" s="82" t="s">
        <v>257</v>
      </c>
      <c r="C63" s="3"/>
      <c r="D63" s="2" t="s">
        <v>99</v>
      </c>
      <c r="E63" s="55"/>
      <c r="F63" s="3" t="str">
        <f>VLOOKUP($D$7,'Source Data'!$A$2:$EU$28,63,FALSE)</f>
        <v>M12</v>
      </c>
      <c r="G63" s="4"/>
    </row>
    <row r="64" spans="2:7" ht="15.6">
      <c r="B64" s="81">
        <v>8</v>
      </c>
      <c r="C64" s="3" t="s">
        <v>250</v>
      </c>
      <c r="D64" s="56" t="s">
        <v>102</v>
      </c>
      <c r="E64" s="55"/>
      <c r="F64" s="3"/>
      <c r="G64" s="4"/>
    </row>
    <row r="65" spans="2:7" ht="45" customHeight="1">
      <c r="B65" s="80">
        <v>8.1</v>
      </c>
      <c r="C65" s="3"/>
      <c r="D65" s="54" t="s">
        <v>93</v>
      </c>
      <c r="E65" s="55"/>
      <c r="F65" s="3" t="str">
        <f>VLOOKUP($D$7,'Source Data'!$A$2:$EU$28,65,FALSE)</f>
        <v>xxxxxxxxxxx</v>
      </c>
      <c r="G65" s="4"/>
    </row>
    <row r="66" spans="2:7" ht="45" customHeight="1">
      <c r="B66" s="80">
        <v>8.1999999999999993</v>
      </c>
      <c r="C66" s="3"/>
      <c r="D66" s="54" t="s">
        <v>94</v>
      </c>
      <c r="E66" s="55"/>
      <c r="F66" s="3" t="str">
        <f>VLOOKUP($D$7,'Source Data'!$A$2:$EU$28,66,FALSE)</f>
        <v>xxxxxxxxxxx</v>
      </c>
      <c r="G66" s="4"/>
    </row>
    <row r="67" spans="2:7" ht="45" customHeight="1">
      <c r="B67" s="80">
        <v>8.3000000000000007</v>
      </c>
      <c r="C67" s="3"/>
      <c r="D67" s="54" t="s">
        <v>95</v>
      </c>
      <c r="E67" s="55"/>
      <c r="F67" s="3" t="str">
        <f>VLOOKUP($D$7,'Source Data'!$A$2:$EU$28,67,FALSE)</f>
        <v>xxxxxxxxxxx</v>
      </c>
      <c r="G67" s="4"/>
    </row>
    <row r="68" spans="2:7" ht="45" customHeight="1">
      <c r="B68" s="80">
        <v>8.4</v>
      </c>
      <c r="C68" s="3"/>
      <c r="D68" s="54" t="s">
        <v>99</v>
      </c>
      <c r="E68" s="55"/>
      <c r="F68" s="3" t="str">
        <f>VLOOKUP($D$7,'Source Data'!$A$2:$EU$28,68,FALSE)</f>
        <v>M12</v>
      </c>
      <c r="G68" s="4"/>
    </row>
    <row r="69" spans="2:7" ht="28.15" customHeight="1">
      <c r="B69" s="81">
        <v>9</v>
      </c>
      <c r="C69" s="3" t="s">
        <v>258</v>
      </c>
      <c r="D69" s="56" t="s">
        <v>105</v>
      </c>
      <c r="E69" s="55"/>
      <c r="F69" s="3"/>
      <c r="G69" s="4"/>
    </row>
    <row r="70" spans="2:7" ht="45" customHeight="1">
      <c r="B70" s="80">
        <v>9.1</v>
      </c>
      <c r="C70" s="3"/>
      <c r="D70" s="54" t="s">
        <v>106</v>
      </c>
      <c r="E70" s="55"/>
      <c r="F70" s="3" t="str">
        <f>VLOOKUP($D$7,'Source Data'!$A$2:$EU$28,72,FALSE)</f>
        <v>Distribution</v>
      </c>
      <c r="G70" s="4" t="s">
        <v>178</v>
      </c>
    </row>
    <row r="71" spans="2:7" ht="45" customHeight="1">
      <c r="B71" s="80">
        <v>9.1999999999999993</v>
      </c>
      <c r="C71" s="3"/>
      <c r="D71" s="54" t="s">
        <v>107</v>
      </c>
      <c r="E71" s="55" t="s">
        <v>259</v>
      </c>
      <c r="F71" s="3">
        <f>VLOOKUP($D$7,'Source Data'!$A$2:$EU$28,73,FALSE)</f>
        <v>80500</v>
      </c>
      <c r="G71" s="4" t="s">
        <v>178</v>
      </c>
    </row>
    <row r="72" spans="2:7" ht="45" customHeight="1">
      <c r="B72" s="80">
        <v>9.3000000000000007</v>
      </c>
      <c r="C72" s="3"/>
      <c r="D72" s="54" t="s">
        <v>108</v>
      </c>
      <c r="E72" s="55" t="s">
        <v>259</v>
      </c>
      <c r="F72" s="3">
        <f>VLOOKUP($D$7,'Source Data'!$A$2:$EU$28,74,FALSE)</f>
        <v>17500</v>
      </c>
      <c r="G72" s="4" t="s">
        <v>178</v>
      </c>
    </row>
    <row r="73" spans="2:7" ht="45" customHeight="1">
      <c r="B73" s="80">
        <v>9.4</v>
      </c>
      <c r="C73" s="3"/>
      <c r="D73" s="54" t="s">
        <v>260</v>
      </c>
      <c r="E73" s="55" t="s">
        <v>261</v>
      </c>
      <c r="F73" s="3">
        <f>VLOOKUP($D$7,'Source Data'!$A$2:$EU$28,75,FALSE)</f>
        <v>190</v>
      </c>
      <c r="G73" s="4"/>
    </row>
    <row r="74" spans="2:7" ht="45" customHeight="1">
      <c r="B74" s="80">
        <v>9.5</v>
      </c>
      <c r="C74" s="3"/>
      <c r="D74" s="54" t="s">
        <v>262</v>
      </c>
      <c r="E74" s="55" t="s">
        <v>261</v>
      </c>
      <c r="F74" s="3">
        <f>VLOOKUP($D$7,'Source Data'!$A$2:$EU$28,151,FALSE)</f>
        <v>70</v>
      </c>
      <c r="G74" s="4"/>
    </row>
    <row r="75" spans="2:7" ht="45" customHeight="1">
      <c r="B75" s="80">
        <v>9.6</v>
      </c>
      <c r="C75" s="3"/>
      <c r="D75" s="54" t="s">
        <v>263</v>
      </c>
      <c r="E75" s="55" t="s">
        <v>261</v>
      </c>
      <c r="F75" s="3">
        <f>VLOOKUP($D$7,'Source Data'!$A$2:$EU$28,76,FALSE)</f>
        <v>1500</v>
      </c>
      <c r="G75" s="4"/>
    </row>
    <row r="76" spans="2:7" ht="27" customHeight="1">
      <c r="B76" s="81">
        <v>10</v>
      </c>
      <c r="C76" s="3" t="s">
        <v>258</v>
      </c>
      <c r="D76" s="57" t="s">
        <v>111</v>
      </c>
      <c r="E76" s="55"/>
      <c r="F76" s="3"/>
      <c r="G76" s="4"/>
    </row>
    <row r="77" spans="2:7" ht="45" customHeight="1">
      <c r="B77" s="80">
        <v>10.1</v>
      </c>
      <c r="C77" s="3"/>
      <c r="D77" s="58" t="s">
        <v>112</v>
      </c>
      <c r="E77" s="55" t="s">
        <v>264</v>
      </c>
      <c r="F77" s="59" t="str">
        <f>VLOOKUP($D$7,'Source Data'!$A$2:$EU$28,78,FALSE)</f>
        <v>3,0 to 4,5</v>
      </c>
      <c r="G77" s="4"/>
    </row>
    <row r="78" spans="2:7" ht="45" customHeight="1">
      <c r="B78" s="80">
        <v>10.199999999999999</v>
      </c>
      <c r="C78" s="3"/>
      <c r="D78" s="58" t="s">
        <v>113</v>
      </c>
      <c r="E78" s="55"/>
      <c r="F78" s="59" t="str">
        <f>VLOOKUP($D$7,'Source Data'!$A$2:$EU$28,79,FALSE)</f>
        <v>xxxxxxxxxx</v>
      </c>
      <c r="G78" s="4"/>
    </row>
    <row r="79" spans="2:7" ht="27" customHeight="1">
      <c r="B79" s="81">
        <v>11</v>
      </c>
      <c r="C79" s="3"/>
      <c r="D79" s="117" t="s">
        <v>299</v>
      </c>
      <c r="E79" s="55"/>
      <c r="F79" s="3"/>
      <c r="G79" s="4"/>
    </row>
    <row r="80" spans="2:7" ht="45" customHeight="1">
      <c r="B80" s="80">
        <v>11.1</v>
      </c>
      <c r="C80" s="3"/>
      <c r="D80" s="54" t="s">
        <v>115</v>
      </c>
      <c r="E80" s="55" t="s">
        <v>266</v>
      </c>
      <c r="F80" s="59" t="str">
        <f>VLOOKUP($D$7,'Source Data'!$A$2:$EU$28,81,FALSE)</f>
        <v xml:space="preserve">≤ 48 </v>
      </c>
      <c r="G80" s="4"/>
    </row>
    <row r="81" spans="2:7" ht="22.15" customHeight="1">
      <c r="B81" s="81">
        <v>12</v>
      </c>
      <c r="C81" s="3"/>
      <c r="D81" s="56" t="s">
        <v>267</v>
      </c>
      <c r="E81" s="55"/>
      <c r="F81" s="3"/>
      <c r="G81" s="4"/>
    </row>
    <row r="82" spans="2:7" ht="45" customHeight="1">
      <c r="B82" s="80">
        <v>12.1</v>
      </c>
      <c r="C82" s="3"/>
      <c r="D82" s="54" t="s">
        <v>117</v>
      </c>
      <c r="E82" s="55"/>
      <c r="F82" s="59" t="str">
        <f>VLOOKUP($D$7,'Source Data'!$A$2:$EU$28,83,FALSE)</f>
        <v>xxxxxxxxxxx</v>
      </c>
      <c r="G82" s="4"/>
    </row>
    <row r="83" spans="2:7" ht="45" customHeight="1">
      <c r="B83" s="80">
        <v>12.2</v>
      </c>
      <c r="C83" s="3"/>
      <c r="D83" s="54" t="s">
        <v>118</v>
      </c>
      <c r="E83" s="55"/>
      <c r="F83" s="59" t="str">
        <f>VLOOKUP($D$7,'Source Data'!$A$2:$EU$28,84,FALSE)</f>
        <v>xxxxxxxxxxx</v>
      </c>
      <c r="G83" s="4"/>
    </row>
    <row r="84" spans="2:7" ht="21.6" customHeight="1">
      <c r="B84" s="81">
        <v>13</v>
      </c>
      <c r="C84" s="3"/>
      <c r="D84" s="56" t="s">
        <v>119</v>
      </c>
      <c r="E84" s="55"/>
      <c r="F84" s="3"/>
      <c r="G84" s="4"/>
    </row>
    <row r="85" spans="2:7" ht="45" customHeight="1">
      <c r="B85" s="80">
        <v>13.1</v>
      </c>
      <c r="C85" s="3"/>
      <c r="D85" s="54" t="s">
        <v>117</v>
      </c>
      <c r="E85" s="55"/>
      <c r="F85" s="59" t="str">
        <f>VLOOKUP($D$7,'Source Data'!$A$2:$EU$28,86,FALSE)</f>
        <v>xxxxxxxxxxx</v>
      </c>
      <c r="G85" s="4"/>
    </row>
    <row r="86" spans="2:7" ht="45" customHeight="1">
      <c r="B86" s="80">
        <v>13.2</v>
      </c>
      <c r="C86" s="3"/>
      <c r="D86" s="54" t="s">
        <v>118</v>
      </c>
      <c r="E86" s="55"/>
      <c r="F86" s="59" t="str">
        <f>VLOOKUP($D$7,'Source Data'!$A$2:$EU$28,87,FALSE)</f>
        <v>xxxxxxxxxxx</v>
      </c>
      <c r="G86" s="4"/>
    </row>
    <row r="87" spans="2:7" ht="24.6" customHeight="1">
      <c r="B87" s="81">
        <v>14</v>
      </c>
      <c r="C87" s="3"/>
      <c r="D87" s="56" t="s">
        <v>120</v>
      </c>
      <c r="E87" s="55"/>
      <c r="F87" s="3"/>
      <c r="G87" s="4"/>
    </row>
    <row r="88" spans="2:7" ht="45" customHeight="1">
      <c r="B88" s="80">
        <v>14.1</v>
      </c>
      <c r="C88" s="3"/>
      <c r="D88" s="54" t="s">
        <v>121</v>
      </c>
      <c r="E88" s="55"/>
      <c r="F88" s="59" t="str">
        <f>VLOOKUP($D$7,'Source Data'!$A$2:$EU$28,89,FALSE)</f>
        <v>Steel or Amporphous</v>
      </c>
      <c r="G88" s="4"/>
    </row>
    <row r="89" spans="2:7" ht="45" customHeight="1">
      <c r="B89" s="80">
        <v>14.2</v>
      </c>
      <c r="C89" s="3"/>
      <c r="D89" s="54" t="s">
        <v>122</v>
      </c>
      <c r="E89" s="55"/>
      <c r="F89" s="59" t="str">
        <f>VLOOKUP($D$7,'Source Data'!$A$2:$EU$28,90,FALSE)</f>
        <v>xxxxxxxxxxx</v>
      </c>
      <c r="G89" s="4"/>
    </row>
    <row r="90" spans="2:7" ht="45" customHeight="1">
      <c r="B90" s="80">
        <v>14.3</v>
      </c>
      <c r="C90" s="3"/>
      <c r="D90" s="54" t="s">
        <v>123</v>
      </c>
      <c r="E90" s="55"/>
      <c r="F90" s="59" t="str">
        <f>VLOOKUP($D$7,'Source Data'!$A$2:$EU$28,91,FALSE)</f>
        <v>xxxxxxxxxxx</v>
      </c>
      <c r="G90" s="4"/>
    </row>
    <row r="91" spans="2:7" ht="45" customHeight="1">
      <c r="B91" s="80">
        <v>14.4</v>
      </c>
      <c r="C91" s="3"/>
      <c r="D91" s="54" t="s">
        <v>124</v>
      </c>
      <c r="E91" s="55"/>
      <c r="F91" s="59" t="str">
        <f>VLOOKUP($D$7,'Source Data'!$A$2:$EU$28,92,FALSE)</f>
        <v>xxxxxxxxxxx</v>
      </c>
      <c r="G91" s="4"/>
    </row>
    <row r="92" spans="2:7" ht="23.45" customHeight="1">
      <c r="B92" s="81">
        <v>15</v>
      </c>
      <c r="C92" s="3" t="s">
        <v>268</v>
      </c>
      <c r="D92" s="57" t="s">
        <v>125</v>
      </c>
      <c r="E92" s="55"/>
      <c r="F92" s="59"/>
      <c r="G92" s="4"/>
    </row>
    <row r="93" spans="2:7" ht="45" customHeight="1">
      <c r="B93" s="80">
        <v>15.1</v>
      </c>
      <c r="C93" s="3"/>
      <c r="D93" s="54" t="s">
        <v>126</v>
      </c>
      <c r="E93" s="55"/>
      <c r="F93" s="59" t="str">
        <f>VLOOKUP($D$7,'Source Data'!$A$2:$EU$28,94,FALSE)</f>
        <v>Sealed</v>
      </c>
      <c r="G93" s="4"/>
    </row>
    <row r="94" spans="2:7" ht="45" customHeight="1">
      <c r="B94" s="80">
        <v>15.2</v>
      </c>
      <c r="C94" s="3"/>
      <c r="D94" s="54" t="s">
        <v>127</v>
      </c>
      <c r="E94" s="55"/>
      <c r="F94" s="59" t="str">
        <f>VLOOKUP($D$7,'Source Data'!$A$2:$EU$28,95,FALSE)</f>
        <v>xxxxxxxxxx</v>
      </c>
      <c r="G94" s="4"/>
    </row>
    <row r="95" spans="2:7" ht="21.6" customHeight="1">
      <c r="B95" s="81">
        <v>16</v>
      </c>
      <c r="C95" s="3" t="s">
        <v>269</v>
      </c>
      <c r="D95" s="56" t="s">
        <v>128</v>
      </c>
      <c r="E95" s="55"/>
      <c r="F95" s="59"/>
      <c r="G95" s="4"/>
    </row>
    <row r="96" spans="2:7" ht="40.15" customHeight="1">
      <c r="B96" s="80">
        <v>16.100000000000001</v>
      </c>
      <c r="C96" s="3" t="s">
        <v>270</v>
      </c>
      <c r="D96" s="54" t="s">
        <v>129</v>
      </c>
      <c r="E96" s="55" t="s">
        <v>245</v>
      </c>
      <c r="F96" s="59" t="str">
        <f>VLOOKUP($D$7,'Source Data'!$A$2:$EU$28,97,FALSE)</f>
        <v xml:space="preserve">≤ 1 080 </v>
      </c>
      <c r="G96" s="4"/>
    </row>
    <row r="97" spans="2:7" ht="40.15" customHeight="1">
      <c r="B97" s="80">
        <v>16.2</v>
      </c>
      <c r="C97" s="3" t="s">
        <v>270</v>
      </c>
      <c r="D97" s="54" t="s">
        <v>130</v>
      </c>
      <c r="E97" s="55" t="s">
        <v>245</v>
      </c>
      <c r="F97" s="59" t="str">
        <f>VLOOKUP($D$7,'Source Data'!$A$2:$EU$28,98,FALSE)</f>
        <v xml:space="preserve">≤ 1 500 </v>
      </c>
      <c r="G97" s="4"/>
    </row>
    <row r="98" spans="2:7" ht="40.15" customHeight="1">
      <c r="B98" s="80">
        <v>16.3</v>
      </c>
      <c r="C98" s="3" t="s">
        <v>270</v>
      </c>
      <c r="D98" s="54" t="s">
        <v>131</v>
      </c>
      <c r="E98" s="55" t="s">
        <v>245</v>
      </c>
      <c r="F98" s="59" t="str">
        <f>VLOOKUP($D$7,'Source Data'!$A$2:$EU$28,99,FALSE)</f>
        <v xml:space="preserve">≤ 1 500 </v>
      </c>
      <c r="G98" s="4"/>
    </row>
    <row r="99" spans="2:7" ht="40.15" customHeight="1">
      <c r="B99" s="80">
        <v>16.399999999999999</v>
      </c>
      <c r="C99" s="3" t="s">
        <v>270</v>
      </c>
      <c r="D99" s="54" t="s">
        <v>132</v>
      </c>
      <c r="E99" s="55" t="s">
        <v>271</v>
      </c>
      <c r="F99" s="3" t="str">
        <f>VLOOKUP($D$7,'Source Data'!$A$2:$EU$28,100,FALSE)</f>
        <v xml:space="preserve">≤ 900 </v>
      </c>
      <c r="G99" s="4"/>
    </row>
    <row r="100" spans="2:7" ht="40.15" customHeight="1">
      <c r="B100" s="80">
        <v>16.5</v>
      </c>
      <c r="C100" s="3"/>
      <c r="D100" s="54" t="s">
        <v>133</v>
      </c>
      <c r="E100" s="55" t="s">
        <v>272</v>
      </c>
      <c r="F100" s="3" t="str">
        <f>VLOOKUP($D$7,'Source Data'!$A$2:$EU$28,101,FALSE)</f>
        <v>xxxxxxxxxxx</v>
      </c>
      <c r="G100" s="4"/>
    </row>
    <row r="101" spans="2:7" ht="40.15" customHeight="1">
      <c r="B101" s="80">
        <v>16.600000000000001</v>
      </c>
      <c r="C101" s="3"/>
      <c r="D101" s="54" t="s">
        <v>134</v>
      </c>
      <c r="E101" s="55" t="s">
        <v>245</v>
      </c>
      <c r="F101" s="3">
        <f>VLOOKUP($D$7,'Source Data'!$A$2:$EU$28,102,FALSE)</f>
        <v>400</v>
      </c>
      <c r="G101" s="4"/>
    </row>
    <row r="102" spans="2:7" ht="45" customHeight="1">
      <c r="B102" s="80">
        <v>16.7</v>
      </c>
      <c r="C102" s="3" t="s">
        <v>273</v>
      </c>
      <c r="D102" s="54" t="s">
        <v>135</v>
      </c>
      <c r="E102" s="55" t="s">
        <v>245</v>
      </c>
      <c r="F102" s="3">
        <f>VLOOKUP($D$7,'Source Data'!$A$2:$EU$28,103,FALSE)</f>
        <v>100</v>
      </c>
      <c r="G102" s="4"/>
    </row>
    <row r="103" spans="2:7" ht="25.9" customHeight="1">
      <c r="B103" s="81">
        <v>17</v>
      </c>
      <c r="C103" s="3" t="s">
        <v>273</v>
      </c>
      <c r="D103" s="56" t="s">
        <v>136</v>
      </c>
      <c r="E103" s="55"/>
      <c r="F103" s="3"/>
      <c r="G103" s="4"/>
    </row>
    <row r="104" spans="2:7" ht="45" customHeight="1">
      <c r="B104" s="80">
        <v>17.100000000000001</v>
      </c>
      <c r="C104" s="3"/>
      <c r="D104" s="54" t="s">
        <v>137</v>
      </c>
      <c r="E104" s="55"/>
      <c r="F104" s="3" t="str">
        <f>VLOOKUP($D$7,'Source Data'!$A$2:$EU$28,105,FALSE)</f>
        <v>No</v>
      </c>
      <c r="G104" s="4" t="s">
        <v>178</v>
      </c>
    </row>
    <row r="105" spans="2:7" ht="45" customHeight="1">
      <c r="B105" s="80" t="s">
        <v>274</v>
      </c>
      <c r="C105" s="83"/>
      <c r="D105" s="54" t="s">
        <v>138</v>
      </c>
      <c r="E105" s="55"/>
      <c r="F105" s="3" t="str">
        <f>VLOOKUP($D$7,'Source Data'!$A$2:$EU$28,106,FALSE)</f>
        <v>N/A</v>
      </c>
      <c r="G105" s="4" t="s">
        <v>178</v>
      </c>
    </row>
    <row r="106" spans="2:7" ht="45" customHeight="1">
      <c r="B106" s="80" t="s">
        <v>275</v>
      </c>
      <c r="C106" s="83"/>
      <c r="D106" s="58" t="s">
        <v>139</v>
      </c>
      <c r="E106" s="55"/>
      <c r="F106" s="3" t="str">
        <f>VLOOKUP($D$7,'Source Data'!$A$2:$EU$28,107,FALSE)</f>
        <v>N/A</v>
      </c>
      <c r="G106" s="4" t="s">
        <v>178</v>
      </c>
    </row>
    <row r="107" spans="2:7" ht="45" customHeight="1">
      <c r="B107" s="80" t="s">
        <v>276</v>
      </c>
      <c r="C107" s="83"/>
      <c r="D107" s="58" t="s">
        <v>140</v>
      </c>
      <c r="E107" s="55"/>
      <c r="F107" s="3" t="str">
        <f>VLOOKUP($D$7,'Source Data'!$A$2:$EU$28,108,FALSE)</f>
        <v>N/A</v>
      </c>
      <c r="G107" s="4" t="s">
        <v>178</v>
      </c>
    </row>
    <row r="108" spans="2:7" ht="45" customHeight="1">
      <c r="B108" s="80" t="s">
        <v>277</v>
      </c>
      <c r="C108" s="83"/>
      <c r="D108" s="58" t="s">
        <v>141</v>
      </c>
      <c r="E108" s="55"/>
      <c r="F108" s="3" t="str">
        <f>VLOOKUP($D$7,'Source Data'!$A$2:$EU$28,109,FALSE)</f>
        <v>N/A</v>
      </c>
      <c r="G108" s="4"/>
    </row>
    <row r="109" spans="2:7" ht="45" customHeight="1">
      <c r="B109" s="80">
        <v>17.2</v>
      </c>
      <c r="C109" s="3"/>
      <c r="D109" s="54" t="s">
        <v>142</v>
      </c>
      <c r="E109" s="55" t="s">
        <v>245</v>
      </c>
      <c r="F109" s="3" t="str">
        <f>VLOOKUP($D$7,'Source Data'!$A$2:$EU$28,110,FALSE)</f>
        <v>N/A</v>
      </c>
      <c r="G109" s="4" t="s">
        <v>178</v>
      </c>
    </row>
    <row r="110" spans="2:7" ht="45" customHeight="1">
      <c r="B110" s="80">
        <v>17.3</v>
      </c>
      <c r="C110" s="3"/>
      <c r="D110" s="54" t="s">
        <v>143</v>
      </c>
      <c r="E110" s="55" t="s">
        <v>245</v>
      </c>
      <c r="F110" s="3" t="str">
        <f>VLOOKUP($D$7,'Source Data'!$A$2:$EU$28,111,FALSE)</f>
        <v>N/A</v>
      </c>
      <c r="G110" s="4" t="s">
        <v>178</v>
      </c>
    </row>
    <row r="111" spans="2:7" ht="45" customHeight="1">
      <c r="B111" s="80">
        <v>17.399999999999999</v>
      </c>
      <c r="C111" s="3"/>
      <c r="D111" s="54" t="s">
        <v>144</v>
      </c>
      <c r="E111" s="55" t="s">
        <v>245</v>
      </c>
      <c r="F111" s="3" t="str">
        <f>VLOOKUP($D$7,'Source Data'!$A$2:$EU$28,112,FALSE)</f>
        <v>N/A</v>
      </c>
      <c r="G111" s="4" t="s">
        <v>178</v>
      </c>
    </row>
    <row r="112" spans="2:7" ht="45" customHeight="1">
      <c r="B112" s="80">
        <v>17.5</v>
      </c>
      <c r="C112" s="3"/>
      <c r="D112" s="54" t="s">
        <v>145</v>
      </c>
      <c r="E112" s="55" t="s">
        <v>245</v>
      </c>
      <c r="F112" s="3" t="str">
        <f>VLOOKUP($D$7,'Source Data'!$A$2:$EU$28,113,FALSE)</f>
        <v>N/A</v>
      </c>
      <c r="G112" s="4" t="s">
        <v>178</v>
      </c>
    </row>
    <row r="113" spans="2:7" ht="45" customHeight="1">
      <c r="B113" s="80">
        <v>17.600000000000001</v>
      </c>
      <c r="C113" s="3"/>
      <c r="D113" s="54" t="s">
        <v>146</v>
      </c>
      <c r="E113" s="55" t="s">
        <v>245</v>
      </c>
      <c r="F113" s="3" t="str">
        <f>VLOOKUP($D$7,'Source Data'!$A$2:$EU$28,114,FALSE)</f>
        <v>N/A</v>
      </c>
      <c r="G113" s="4" t="s">
        <v>178</v>
      </c>
    </row>
    <row r="114" spans="2:7" ht="45" customHeight="1">
      <c r="B114" s="81">
        <v>18</v>
      </c>
      <c r="C114" s="3" t="s">
        <v>278</v>
      </c>
      <c r="D114" s="56" t="s">
        <v>147</v>
      </c>
      <c r="E114" s="55"/>
      <c r="F114" s="3"/>
      <c r="G114" s="4"/>
    </row>
    <row r="115" spans="2:7" ht="45" customHeight="1">
      <c r="B115" s="80">
        <v>18.100000000000001</v>
      </c>
      <c r="C115" s="3"/>
      <c r="D115" s="54" t="s">
        <v>148</v>
      </c>
      <c r="E115" s="55"/>
      <c r="F115" s="3" t="str">
        <f>VLOOKUP($D$7,'Source Data'!$A$2:$EU$28,116,FALSE)</f>
        <v>Yes</v>
      </c>
      <c r="G115" s="4" t="s">
        <v>178</v>
      </c>
    </row>
    <row r="116" spans="2:7" ht="45" customHeight="1">
      <c r="B116" s="80">
        <v>18.2</v>
      </c>
      <c r="C116" s="3" t="s">
        <v>279</v>
      </c>
      <c r="D116" s="54" t="s">
        <v>149</v>
      </c>
      <c r="E116" s="55" t="s">
        <v>245</v>
      </c>
      <c r="F116" s="3">
        <f>VLOOKUP($D$7,'Source Data'!$A$2:$EU$28,117,FALSE)</f>
        <v>400</v>
      </c>
      <c r="G116" s="4"/>
    </row>
    <row r="117" spans="2:7" ht="45" customHeight="1">
      <c r="B117" s="80">
        <v>18.3</v>
      </c>
      <c r="C117" s="3" t="s">
        <v>279</v>
      </c>
      <c r="D117" s="54" t="s">
        <v>150</v>
      </c>
      <c r="E117" s="55" t="s">
        <v>245</v>
      </c>
      <c r="F117" s="3" t="str">
        <f>VLOOKUP($D$7,'Source Data'!$A$2:$EU$28,118,FALSE)</f>
        <v>xxxxxxxxxxx</v>
      </c>
      <c r="G117" s="4"/>
    </row>
    <row r="118" spans="2:7" ht="45" customHeight="1">
      <c r="B118" s="80">
        <v>18.399999999999999</v>
      </c>
      <c r="C118" s="3" t="s">
        <v>279</v>
      </c>
      <c r="D118" s="54" t="s">
        <v>151</v>
      </c>
      <c r="E118" s="55" t="s">
        <v>245</v>
      </c>
      <c r="F118" s="3" t="str">
        <f>VLOOKUP($D$7,'Source Data'!$A$2:$EU$28,119,FALSE)</f>
        <v>≥ 320</v>
      </c>
      <c r="G118" s="4"/>
    </row>
    <row r="119" spans="2:7" ht="45" customHeight="1">
      <c r="B119" s="80">
        <v>18.5</v>
      </c>
      <c r="C119" s="3" t="s">
        <v>279</v>
      </c>
      <c r="D119" s="54" t="s">
        <v>152</v>
      </c>
      <c r="E119" s="55" t="s">
        <v>245</v>
      </c>
      <c r="F119" s="3" t="str">
        <f>VLOOKUP($D$7,'Source Data'!$A$2:$EU$28,110,FALSE)</f>
        <v>N/A</v>
      </c>
      <c r="G119" s="4"/>
    </row>
    <row r="120" spans="2:7" ht="45" customHeight="1">
      <c r="B120" s="80">
        <v>18.600000000000001</v>
      </c>
      <c r="C120" s="3" t="s">
        <v>279</v>
      </c>
      <c r="D120" s="54" t="s">
        <v>145</v>
      </c>
      <c r="E120" s="55" t="s">
        <v>245</v>
      </c>
      <c r="F120" s="3" t="str">
        <f>VLOOKUP($D$7,'Source Data'!$A$2:$EU$28,111,FALSE)</f>
        <v>N/A</v>
      </c>
      <c r="G120" s="4"/>
    </row>
    <row r="121" spans="2:7" ht="45" customHeight="1">
      <c r="B121" s="81">
        <v>19</v>
      </c>
      <c r="C121" s="3" t="s">
        <v>280</v>
      </c>
      <c r="D121" s="56" t="s">
        <v>153</v>
      </c>
      <c r="E121" s="55"/>
      <c r="F121" s="3"/>
      <c r="G121" s="4"/>
    </row>
    <row r="122" spans="2:7" ht="45" customHeight="1">
      <c r="B122" s="80">
        <v>19.100000000000001</v>
      </c>
      <c r="C122" s="3"/>
      <c r="D122" s="54" t="s">
        <v>154</v>
      </c>
      <c r="E122" s="55"/>
      <c r="F122" s="3" t="str">
        <f>VLOOKUP($D$7,'Source Data'!$A$2:$EU$28,123,FALSE)</f>
        <v>Yes</v>
      </c>
      <c r="G122" s="4"/>
    </row>
    <row r="123" spans="2:7" ht="45" customHeight="1">
      <c r="B123" s="80">
        <v>19.2</v>
      </c>
      <c r="C123" s="3"/>
      <c r="D123" s="54" t="s">
        <v>155</v>
      </c>
      <c r="E123" s="55" t="s">
        <v>245</v>
      </c>
      <c r="F123" s="3" t="str">
        <f>VLOOKUP($D$7,'Source Data'!$A$2:$EU$28,124,FALSE)</f>
        <v xml:space="preserve">≥ 30 </v>
      </c>
      <c r="G123" s="4"/>
    </row>
    <row r="124" spans="2:7" ht="45" customHeight="1">
      <c r="B124" s="81">
        <v>20</v>
      </c>
      <c r="C124" s="3" t="s">
        <v>281</v>
      </c>
      <c r="D124" s="56" t="s">
        <v>156</v>
      </c>
      <c r="E124" s="55"/>
      <c r="F124" s="3"/>
      <c r="G124" s="4"/>
    </row>
    <row r="125" spans="2:7" ht="45" customHeight="1">
      <c r="B125" s="80">
        <v>20.100000000000001</v>
      </c>
      <c r="C125" s="3"/>
      <c r="D125" s="54" t="s">
        <v>157</v>
      </c>
      <c r="E125" s="55"/>
      <c r="F125" s="3" t="str">
        <f>VLOOKUP($D$7,'Source Data'!$A$2:$EU$28,126,FALSE)</f>
        <v>316 Stainless Steel or Mild Steel</v>
      </c>
      <c r="G125" s="4"/>
    </row>
    <row r="126" spans="2:7" ht="45" customHeight="1">
      <c r="B126" s="80">
        <v>20.2</v>
      </c>
      <c r="C126" s="3"/>
      <c r="D126" s="54" t="s">
        <v>158</v>
      </c>
      <c r="E126" s="55" t="s">
        <v>245</v>
      </c>
      <c r="F126" s="3" t="str">
        <f>VLOOKUP($D$7,'Source Data'!$A$2:$EU$28,127,FALSE)</f>
        <v>≥ 30</v>
      </c>
      <c r="G126" s="4"/>
    </row>
    <row r="127" spans="2:7" ht="45" customHeight="1">
      <c r="B127" s="80">
        <v>20.3</v>
      </c>
      <c r="C127" s="3"/>
      <c r="D127" s="54" t="s">
        <v>159</v>
      </c>
      <c r="E127" s="55"/>
      <c r="F127" s="3" t="str">
        <f>VLOOKUP($D$7,'Source Data'!$A$2:$EU$28,128,FALSE)</f>
        <v>316 Stainless Steel or Mild Steel</v>
      </c>
      <c r="G127" s="4"/>
    </row>
    <row r="128" spans="2:7" ht="45" customHeight="1">
      <c r="B128" s="80">
        <v>20.399999999999999</v>
      </c>
      <c r="C128" s="3"/>
      <c r="D128" s="54" t="s">
        <v>160</v>
      </c>
      <c r="E128" s="55" t="s">
        <v>245</v>
      </c>
      <c r="F128" s="3" t="str">
        <f>VLOOKUP($D$7,'Source Data'!$A$2:$EU$28,129,FALSE)</f>
        <v xml:space="preserve">M12 x 25 </v>
      </c>
      <c r="G128" s="4"/>
    </row>
    <row r="129" spans="2:7" ht="45" customHeight="1">
      <c r="B129" s="80">
        <v>20.5</v>
      </c>
      <c r="C129" s="3"/>
      <c r="D129" s="54" t="s">
        <v>161</v>
      </c>
      <c r="E129" s="55"/>
      <c r="F129" s="3" t="str">
        <f>VLOOKUP($D$7,'Source Data'!$A$2:$EU$28,130,FALSE)</f>
        <v>Yes</v>
      </c>
      <c r="G129" s="4"/>
    </row>
    <row r="130" spans="2:7" ht="45" customHeight="1">
      <c r="B130" s="81">
        <v>21</v>
      </c>
      <c r="C130" s="3" t="s">
        <v>282</v>
      </c>
      <c r="D130" s="56" t="s">
        <v>162</v>
      </c>
      <c r="E130" s="55"/>
      <c r="F130" s="3"/>
      <c r="G130" s="4"/>
    </row>
    <row r="131" spans="2:7" ht="45" customHeight="1">
      <c r="B131" s="80">
        <v>21.1</v>
      </c>
      <c r="C131" s="3"/>
      <c r="D131" s="54" t="s">
        <v>163</v>
      </c>
      <c r="E131" s="55"/>
      <c r="F131" s="3" t="str">
        <f>VLOOKUP($D$7,'Source Data'!$A$2:$EU$28,132,FALSE)</f>
        <v>Yes</v>
      </c>
      <c r="G131" s="4"/>
    </row>
    <row r="132" spans="2:7" ht="45" customHeight="1">
      <c r="B132" s="80">
        <v>21.2</v>
      </c>
      <c r="C132" s="3" t="s">
        <v>283</v>
      </c>
      <c r="D132" s="54" t="s">
        <v>145</v>
      </c>
      <c r="E132" s="55" t="s">
        <v>245</v>
      </c>
      <c r="F132" s="3">
        <f>VLOOKUP($D$7,'Source Data'!$A$2:$EU$28,133,FALSE)</f>
        <v>14</v>
      </c>
      <c r="G132" s="4"/>
    </row>
    <row r="133" spans="2:7" ht="45" customHeight="1">
      <c r="B133" s="80">
        <v>21.3</v>
      </c>
      <c r="C133" s="3" t="s">
        <v>283</v>
      </c>
      <c r="D133" s="54" t="s">
        <v>164</v>
      </c>
      <c r="E133" s="55" t="s">
        <v>245</v>
      </c>
      <c r="F133" s="3" t="str">
        <f>VLOOKUP($D$7,'Source Data'!$A$2:$EU$28,134,FALSE)</f>
        <v>≥ 200</v>
      </c>
      <c r="G133" s="4"/>
    </row>
    <row r="134" spans="2:7" ht="45" customHeight="1">
      <c r="B134" s="80">
        <v>21.4</v>
      </c>
      <c r="C134" s="3" t="s">
        <v>283</v>
      </c>
      <c r="D134" s="54" t="s">
        <v>165</v>
      </c>
      <c r="E134" s="55" t="s">
        <v>245</v>
      </c>
      <c r="F134" s="3" t="str">
        <f>VLOOKUP($D$7,'Source Data'!$A$2:$EU$28,135,FALSE)</f>
        <v xml:space="preserve">≥ 400 </v>
      </c>
      <c r="G134" s="4"/>
    </row>
    <row r="135" spans="2:7" ht="45" customHeight="1">
      <c r="B135" s="80">
        <v>21.5</v>
      </c>
      <c r="C135" s="3" t="s">
        <v>283</v>
      </c>
      <c r="D135" s="54" t="s">
        <v>166</v>
      </c>
      <c r="E135" s="55" t="s">
        <v>245</v>
      </c>
      <c r="F135" s="3" t="str">
        <f>VLOOKUP($D$7,'Source Data'!$A$2:$EU$28,136,FALSE)</f>
        <v>≥ 150</v>
      </c>
      <c r="G135" s="4"/>
    </row>
    <row r="136" spans="2:7" ht="45" customHeight="1">
      <c r="B136" s="81">
        <v>22</v>
      </c>
      <c r="C136" s="60">
        <v>3.4</v>
      </c>
      <c r="D136" s="61" t="s">
        <v>173</v>
      </c>
      <c r="E136" s="62"/>
      <c r="F136" s="60"/>
      <c r="G136" s="63"/>
    </row>
    <row r="137" spans="2:7" ht="45" customHeight="1">
      <c r="B137" s="80">
        <v>22.1</v>
      </c>
      <c r="C137" s="3"/>
      <c r="D137" s="64" t="s">
        <v>174</v>
      </c>
      <c r="E137" s="55"/>
      <c r="F137" s="3"/>
      <c r="G137" s="4"/>
    </row>
    <row r="138" spans="2:7" ht="45" customHeight="1">
      <c r="B138" s="80">
        <v>22.2</v>
      </c>
      <c r="C138" s="3"/>
      <c r="D138" s="64" t="s">
        <v>169</v>
      </c>
      <c r="E138" s="55"/>
      <c r="F138" s="3" t="str">
        <f>VLOOKUP($D$7,'Source Data'!$A$2:$EU$28,145,FALSE)</f>
        <v>xxxxxxxxxxx</v>
      </c>
      <c r="G138" s="4"/>
    </row>
    <row r="139" spans="2:7" ht="45" customHeight="1">
      <c r="B139" s="80">
        <v>22.3</v>
      </c>
      <c r="C139" s="3"/>
      <c r="D139" s="64" t="s">
        <v>170</v>
      </c>
      <c r="E139" s="55"/>
      <c r="F139" s="3" t="str">
        <f>VLOOKUP($D$7,'Source Data'!$A$2:$EU$28,146,FALSE)</f>
        <v>xxxxxxxxxxx</v>
      </c>
      <c r="G139" s="4"/>
    </row>
    <row r="140" spans="2:7" ht="45" customHeight="1">
      <c r="B140" s="80">
        <v>22.4</v>
      </c>
      <c r="C140" s="84"/>
      <c r="D140" s="64" t="s">
        <v>171</v>
      </c>
      <c r="E140" s="65"/>
      <c r="F140" s="3" t="str">
        <f>VLOOKUP($D$7,'Source Data'!$A$2:$EU$28,147,FALSE)</f>
        <v>xxxxxxxxxxx</v>
      </c>
      <c r="G140" s="66"/>
    </row>
    <row r="141" spans="2:7" ht="45" customHeight="1">
      <c r="B141" s="80">
        <v>22.5</v>
      </c>
      <c r="C141" s="84"/>
      <c r="D141" s="64" t="s">
        <v>172</v>
      </c>
      <c r="E141" s="65"/>
      <c r="F141" s="3" t="str">
        <f>VLOOKUP($D$7,'Source Data'!$A$2:$EU$28,148,FALSE)</f>
        <v>Azure Blue</v>
      </c>
      <c r="G141" s="66"/>
    </row>
    <row r="142" spans="2:7" ht="151.15">
      <c r="B142" s="85">
        <v>23</v>
      </c>
      <c r="C142" s="84">
        <v>4.2</v>
      </c>
      <c r="D142" s="61" t="s">
        <v>284</v>
      </c>
      <c r="E142" s="65"/>
      <c r="F142" s="3" t="str">
        <f>VLOOKUP($D$7,'Source Data'!$A$2:$EU$28,149,FALSE)</f>
        <v>Report Numbers</v>
      </c>
      <c r="G142" s="66"/>
    </row>
    <row r="143" spans="2:7" ht="241.9" thickBot="1">
      <c r="B143" s="86">
        <v>24</v>
      </c>
      <c r="C143" s="67">
        <v>4.3</v>
      </c>
      <c r="D143" s="68" t="s">
        <v>285</v>
      </c>
      <c r="E143" s="69"/>
      <c r="F143" s="67" t="str">
        <f>VLOOKUP($D$7,'Source Data'!$A$2:$EU$28,150,FALSE)</f>
        <v>Report Numbers</v>
      </c>
      <c r="G143" s="70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&amp;CSWER Isolation, 100kVA 33kV/ 19kV* (Coastal, Ester Oil Only)</oddHeader>
  </headerFooter>
  <rowBreaks count="4" manualBreakCount="4">
    <brk id="37" min="1" max="6" man="1"/>
    <brk id="68" min="1" max="6" man="1"/>
    <brk id="102" min="1" max="6" man="1"/>
    <brk id="123" min="1" max="6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82785-E518-44B3-8A8A-1D4EDC318C9A}">
  <sheetPr>
    <pageSetUpPr fitToPage="1"/>
  </sheetPr>
  <dimension ref="B1:G143"/>
  <sheetViews>
    <sheetView topLeftCell="A74" zoomScale="85" zoomScaleNormal="85" zoomScaleSheetLayoutView="70" workbookViewId="0">
      <selection activeCell="D79" sqref="D79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28" bestFit="1" customWidth="1"/>
    <col min="6" max="6" width="22.85546875" customWidth="1"/>
    <col min="7" max="7" width="30.85546875" customWidth="1"/>
  </cols>
  <sheetData>
    <row r="1" spans="2:7" ht="15" thickBot="1"/>
    <row r="2" spans="2:7">
      <c r="B2" s="29"/>
      <c r="C2" s="30"/>
      <c r="D2" s="30"/>
      <c r="E2" s="31"/>
      <c r="F2" s="30"/>
      <c r="G2" s="32"/>
    </row>
    <row r="3" spans="2:7">
      <c r="B3" s="33"/>
      <c r="C3" s="34"/>
      <c r="D3" s="34"/>
      <c r="E3" s="35"/>
      <c r="F3" s="91" t="s">
        <v>226</v>
      </c>
      <c r="G3" s="92"/>
    </row>
    <row r="4" spans="2:7">
      <c r="B4" s="33"/>
      <c r="C4" s="34"/>
      <c r="D4" s="34"/>
      <c r="E4" s="35"/>
      <c r="F4" s="91" t="str">
        <f>'List of Items &amp; Enquiry number'!B14</f>
        <v>Enquiry Number: 123456XYZ</v>
      </c>
      <c r="G4" s="92"/>
    </row>
    <row r="5" spans="2:7">
      <c r="B5" s="33"/>
      <c r="C5" s="34"/>
      <c r="D5" s="34"/>
      <c r="E5" s="35"/>
      <c r="F5" s="34"/>
      <c r="G5" s="36"/>
    </row>
    <row r="6" spans="2:7" ht="28.9">
      <c r="B6" s="37"/>
      <c r="C6" s="38"/>
      <c r="D6" s="39" t="s">
        <v>227</v>
      </c>
      <c r="E6" s="40"/>
      <c r="F6" s="41"/>
      <c r="G6" s="42"/>
    </row>
    <row r="7" spans="2:7">
      <c r="B7" s="33"/>
      <c r="C7" s="34"/>
      <c r="D7" s="43" t="s">
        <v>37</v>
      </c>
      <c r="E7" s="35"/>
      <c r="F7" s="34"/>
      <c r="G7" s="36"/>
    </row>
    <row r="8" spans="2:7">
      <c r="B8" s="33"/>
      <c r="C8" s="34"/>
      <c r="D8" s="76" t="s">
        <v>228</v>
      </c>
      <c r="E8" s="34"/>
      <c r="F8" s="93" t="s">
        <v>229</v>
      </c>
      <c r="G8" s="94"/>
    </row>
    <row r="9" spans="2:7">
      <c r="B9" s="44" t="s">
        <v>230</v>
      </c>
      <c r="C9" s="1"/>
      <c r="D9" s="1"/>
      <c r="E9" s="1"/>
      <c r="F9" s="93"/>
      <c r="G9" s="94"/>
    </row>
    <row r="10" spans="2:7" ht="15" thickBot="1">
      <c r="B10" s="97" t="s">
        <v>231</v>
      </c>
      <c r="C10" s="98"/>
      <c r="D10" s="98"/>
      <c r="E10" s="45"/>
      <c r="F10" s="95"/>
      <c r="G10" s="96"/>
    </row>
    <row r="11" spans="2:7" ht="28.15" customHeight="1" thickBot="1">
      <c r="B11" s="49" t="s">
        <v>232</v>
      </c>
      <c r="C11" s="78" t="s">
        <v>233</v>
      </c>
      <c r="D11" s="47" t="s">
        <v>15</v>
      </c>
      <c r="E11" s="48"/>
      <c r="F11" s="49" t="s">
        <v>234</v>
      </c>
      <c r="G11" s="46" t="s">
        <v>235</v>
      </c>
    </row>
    <row r="12" spans="2:7" ht="21" customHeight="1">
      <c r="B12" s="79">
        <v>1</v>
      </c>
      <c r="C12" s="50"/>
      <c r="D12" s="51" t="s">
        <v>54</v>
      </c>
      <c r="E12" s="52"/>
      <c r="F12" s="50"/>
      <c r="G12" s="53"/>
    </row>
    <row r="13" spans="2:7" ht="45" customHeight="1">
      <c r="B13" s="80">
        <v>1.1000000000000001</v>
      </c>
      <c r="C13" s="3"/>
      <c r="D13" s="54" t="s">
        <v>55</v>
      </c>
      <c r="E13" s="55"/>
      <c r="F13" s="3" t="str">
        <f>VLOOKUP($D$7,'Source Data'!$A$2:$EU$28,3,FALSE)</f>
        <v>xxxxxxxxxxx</v>
      </c>
      <c r="G13" s="4"/>
    </row>
    <row r="14" spans="2:7" ht="45" customHeight="1">
      <c r="B14" s="80">
        <v>1.2000000000000002</v>
      </c>
      <c r="C14" s="3"/>
      <c r="D14" s="54" t="s">
        <v>56</v>
      </c>
      <c r="E14" s="55"/>
      <c r="F14" s="3" t="str">
        <f>VLOOKUP($D$7,'Source Data'!$A$2:$EU$28,4,FALSE)</f>
        <v>xxxxxxxxxxx</v>
      </c>
      <c r="G14" s="4"/>
    </row>
    <row r="15" spans="2:7" ht="45" customHeight="1">
      <c r="B15" s="80">
        <v>1.3</v>
      </c>
      <c r="C15" s="3"/>
      <c r="D15" s="54" t="s">
        <v>58</v>
      </c>
      <c r="E15" s="55"/>
      <c r="F15" s="3" t="str">
        <f>VLOOKUP($D$7,'Source Data'!$A$2:$EU$28,6,FALSE)</f>
        <v>xxxxxxxxxxx</v>
      </c>
      <c r="G15" s="4"/>
    </row>
    <row r="16" spans="2:7" ht="45" customHeight="1">
      <c r="B16" s="80">
        <v>1.4</v>
      </c>
      <c r="C16" s="3"/>
      <c r="D16" s="54" t="s">
        <v>236</v>
      </c>
      <c r="E16" s="55"/>
      <c r="F16" s="3" t="str">
        <f>VLOOKUP($D$7,'Source Data'!$A$2:$EU$28,7,FALSE)</f>
        <v>xxxxxxxxxxx</v>
      </c>
      <c r="G16" s="4"/>
    </row>
    <row r="17" spans="2:7" ht="45" customHeight="1">
      <c r="B17" s="80">
        <v>1.5</v>
      </c>
      <c r="C17" s="3"/>
      <c r="D17" s="54" t="s">
        <v>237</v>
      </c>
      <c r="E17" s="55"/>
      <c r="F17" s="3" t="str">
        <f>VLOOKUP($D$7,'Source Data'!$A$2:$EU$28,8,FALSE)</f>
        <v>xxxxxxxxxxx</v>
      </c>
      <c r="G17" s="4"/>
    </row>
    <row r="18" spans="2:7" ht="45" customHeight="1">
      <c r="B18" s="80">
        <v>1.6</v>
      </c>
      <c r="C18" s="3"/>
      <c r="D18" s="54" t="s">
        <v>61</v>
      </c>
      <c r="E18" s="55"/>
      <c r="F18" s="3" t="str">
        <f>VLOOKUP($D$7,'Source Data'!$A$2:$EU$28,9,FALSE)</f>
        <v>Ester Oil</v>
      </c>
      <c r="G18" s="4"/>
    </row>
    <row r="19" spans="2:7" ht="24.6" customHeight="1">
      <c r="B19" s="81">
        <v>2</v>
      </c>
      <c r="C19" s="3" t="s">
        <v>238</v>
      </c>
      <c r="D19" s="56" t="s">
        <v>62</v>
      </c>
      <c r="E19" s="55"/>
      <c r="F19" s="3"/>
      <c r="G19" s="4"/>
    </row>
    <row r="20" spans="2:7" ht="45" customHeight="1">
      <c r="B20" s="80">
        <v>2.1</v>
      </c>
      <c r="C20" s="3"/>
      <c r="D20" s="54" t="s">
        <v>63</v>
      </c>
      <c r="E20" s="55" t="s">
        <v>239</v>
      </c>
      <c r="F20" s="3">
        <f>VLOOKUP($D$7,'Source Data'!$A$2:$EU$28,11,FALSE)</f>
        <v>200</v>
      </c>
      <c r="G20" s="4"/>
    </row>
    <row r="21" spans="2:7" ht="45" customHeight="1">
      <c r="B21" s="80">
        <v>2.2000000000000002</v>
      </c>
      <c r="C21" s="3"/>
      <c r="D21" s="54" t="s">
        <v>64</v>
      </c>
      <c r="E21" s="55" t="s">
        <v>240</v>
      </c>
      <c r="F21" s="3">
        <f>VLOOKUP($D$7,'Source Data'!$A$2:$EU$28,12,FALSE)</f>
        <v>11</v>
      </c>
      <c r="G21" s="4"/>
    </row>
    <row r="22" spans="2:7" ht="45" customHeight="1">
      <c r="B22" s="80">
        <v>2.3000000000000003</v>
      </c>
      <c r="C22" s="3"/>
      <c r="D22" s="54" t="s">
        <v>241</v>
      </c>
      <c r="E22" s="55" t="s">
        <v>240</v>
      </c>
      <c r="F22" s="3">
        <f>VLOOKUP($D$7,'Source Data'!$A$2:$EU$28,13,FALSE)</f>
        <v>19</v>
      </c>
      <c r="G22" s="4"/>
    </row>
    <row r="23" spans="2:7" ht="45" customHeight="1">
      <c r="B23" s="80">
        <v>2.4000000000000004</v>
      </c>
      <c r="C23" s="3"/>
      <c r="D23" s="54" t="s">
        <v>66</v>
      </c>
      <c r="E23" s="55" t="s">
        <v>242</v>
      </c>
      <c r="F23" s="3">
        <f>VLOOKUP($D$7,'Source Data'!$A$2:$EU$28,14,FALSE)</f>
        <v>50</v>
      </c>
      <c r="G23" s="4"/>
    </row>
    <row r="24" spans="2:7" ht="45" customHeight="1">
      <c r="B24" s="80">
        <v>2.5</v>
      </c>
      <c r="C24" s="3"/>
      <c r="D24" s="54" t="s">
        <v>67</v>
      </c>
      <c r="E24" s="55"/>
      <c r="F24" s="3" t="str">
        <f>VLOOKUP($D$7,'Source Data'!$A$2:$EU$28,15,FALSE)</f>
        <v>1ph</v>
      </c>
      <c r="G24" s="4"/>
    </row>
    <row r="25" spans="2:7" ht="45" customHeight="1">
      <c r="B25" s="80">
        <v>2.6</v>
      </c>
      <c r="C25" s="3"/>
      <c r="D25" s="54" t="s">
        <v>68</v>
      </c>
      <c r="E25" s="55"/>
      <c r="F25" s="3" t="str">
        <f>VLOOKUP($D$7,'Source Data'!$A$2:$EU$28,16,FALSE)</f>
        <v>N/A</v>
      </c>
      <c r="G25" s="4" t="s">
        <v>178</v>
      </c>
    </row>
    <row r="26" spans="2:7" ht="24.6" customHeight="1">
      <c r="B26" s="81">
        <v>3</v>
      </c>
      <c r="C26" s="3" t="s">
        <v>243</v>
      </c>
      <c r="D26" s="56" t="s">
        <v>69</v>
      </c>
      <c r="E26" s="55"/>
      <c r="F26" s="3"/>
      <c r="G26" s="4"/>
    </row>
    <row r="27" spans="2:7" ht="45" customHeight="1">
      <c r="B27" s="80">
        <v>3.1</v>
      </c>
      <c r="C27" s="3"/>
      <c r="D27" s="54" t="s">
        <v>70</v>
      </c>
      <c r="E27" s="55" t="s">
        <v>240</v>
      </c>
      <c r="F27" s="3">
        <f>VLOOKUP($D$7,'Source Data'!$A$2:$EU$28,18,FALSE)</f>
        <v>95</v>
      </c>
      <c r="G27" s="4"/>
    </row>
    <row r="28" spans="2:7" ht="45" customHeight="1">
      <c r="B28" s="80">
        <v>3.2</v>
      </c>
      <c r="C28" s="3"/>
      <c r="D28" s="54" t="s">
        <v>71</v>
      </c>
      <c r="E28" s="55" t="s">
        <v>240</v>
      </c>
      <c r="F28" s="3">
        <f>VLOOKUP($D$7,'Source Data'!$A$2:$EU$28,19,FALSE)</f>
        <v>200</v>
      </c>
      <c r="G28" s="4"/>
    </row>
    <row r="29" spans="2:7" ht="45" customHeight="1">
      <c r="B29" s="80">
        <v>3.3</v>
      </c>
      <c r="C29" s="3"/>
      <c r="D29" s="54" t="s">
        <v>72</v>
      </c>
      <c r="E29" s="55" t="s">
        <v>240</v>
      </c>
      <c r="F29" s="3">
        <f>VLOOKUP($D$7,'Source Data'!$A$2:$EU$28,20,FALSE)</f>
        <v>30</v>
      </c>
      <c r="G29" s="4"/>
    </row>
    <row r="30" spans="2:7" ht="45" customHeight="1">
      <c r="B30" s="80">
        <v>3.4</v>
      </c>
      <c r="C30" s="3"/>
      <c r="D30" s="54" t="s">
        <v>73</v>
      </c>
      <c r="E30" s="55" t="s">
        <v>240</v>
      </c>
      <c r="F30" s="3">
        <f>VLOOKUP($D$7,'Source Data'!$A$2:$EU$28,21,FALSE)</f>
        <v>28</v>
      </c>
      <c r="G30" s="4"/>
    </row>
    <row r="31" spans="2:7" ht="45" customHeight="1">
      <c r="B31" s="80">
        <v>3.5</v>
      </c>
      <c r="C31" s="3"/>
      <c r="D31" s="54" t="s">
        <v>74</v>
      </c>
      <c r="E31" s="55" t="s">
        <v>240</v>
      </c>
      <c r="F31" s="3">
        <f>VLOOKUP($D$7,'Source Data'!$A$2:$EU$28,22,FALSE)</f>
        <v>8</v>
      </c>
      <c r="G31" s="4"/>
    </row>
    <row r="32" spans="2:7" ht="33" customHeight="1">
      <c r="B32" s="81">
        <v>4</v>
      </c>
      <c r="C32" s="3" t="s">
        <v>244</v>
      </c>
      <c r="D32" s="56" t="s">
        <v>75</v>
      </c>
      <c r="E32" s="55"/>
      <c r="F32" s="3"/>
      <c r="G32" s="4"/>
    </row>
    <row r="33" spans="2:7" ht="45" customHeight="1">
      <c r="B33" s="80">
        <v>4.0999999999999996</v>
      </c>
      <c r="C33" s="3"/>
      <c r="D33" s="54" t="s">
        <v>76</v>
      </c>
      <c r="E33" s="55"/>
      <c r="F33" s="3" t="str">
        <f>VLOOKUP($D$7,'Source Data'!$A$2:$EU$28,24,FALSE)</f>
        <v>xxxxxxxxxxx</v>
      </c>
      <c r="G33" s="4"/>
    </row>
    <row r="34" spans="2:7" ht="45" customHeight="1">
      <c r="B34" s="80">
        <v>4.1999999999999993</v>
      </c>
      <c r="C34" s="3"/>
      <c r="D34" s="54" t="s">
        <v>77</v>
      </c>
      <c r="E34" s="55"/>
      <c r="F34" s="3" t="str">
        <f>VLOOKUP($D$7,'Source Data'!$A$2:$EU$28,25,FALSE)</f>
        <v>Grade 3</v>
      </c>
      <c r="G34" s="4"/>
    </row>
    <row r="35" spans="2:7" ht="45" customHeight="1">
      <c r="B35" s="80">
        <v>4.3</v>
      </c>
      <c r="C35" s="3"/>
      <c r="D35" s="54" t="s">
        <v>78</v>
      </c>
      <c r="E35" s="55" t="s">
        <v>245</v>
      </c>
      <c r="F35" s="3" t="str">
        <f>VLOOKUP($D$7,'Source Data'!$A$2:$EU$28,26,FALSE)</f>
        <v>&gt; 0.125</v>
      </c>
      <c r="G35" s="4"/>
    </row>
    <row r="36" spans="2:7" ht="45" customHeight="1">
      <c r="B36" s="80">
        <v>4.3999999999999995</v>
      </c>
      <c r="C36" s="3"/>
      <c r="D36" s="54" t="s">
        <v>79</v>
      </c>
      <c r="E36" s="55"/>
      <c r="F36" s="3" t="str">
        <f>VLOOKUP($D$7,'Source Data'!$A$2:$EU$28,27,FALSE)</f>
        <v>xxxxxxxxxxx</v>
      </c>
      <c r="G36" s="4"/>
    </row>
    <row r="37" spans="2:7" ht="45" customHeight="1">
      <c r="B37" s="80">
        <v>4.5</v>
      </c>
      <c r="C37" s="3"/>
      <c r="D37" s="54" t="s">
        <v>80</v>
      </c>
      <c r="E37" s="55"/>
      <c r="F37" s="3" t="str">
        <f>VLOOKUP($D$7,'Source Data'!$A$2:$EU$28,28,FALSE)</f>
        <v>xxxxxxxxxxx</v>
      </c>
      <c r="G37" s="4"/>
    </row>
    <row r="38" spans="2:7" ht="45" customHeight="1">
      <c r="B38" s="80">
        <v>4.5999999999999996</v>
      </c>
      <c r="C38" s="3"/>
      <c r="D38" s="54" t="s">
        <v>81</v>
      </c>
      <c r="E38" s="55" t="s">
        <v>240</v>
      </c>
      <c r="F38" s="3">
        <f>VLOOKUP($D$7,'Source Data'!$A$2:$EU$28,29,FALSE)</f>
        <v>21</v>
      </c>
      <c r="G38" s="4"/>
    </row>
    <row r="39" spans="2:7" ht="45" customHeight="1">
      <c r="B39" s="80">
        <v>4.7</v>
      </c>
      <c r="C39" s="3"/>
      <c r="D39" s="54" t="s">
        <v>82</v>
      </c>
      <c r="E39" s="55" t="s">
        <v>240</v>
      </c>
      <c r="F39" s="3">
        <f>VLOOKUP($D$7,'Source Data'!$A$2:$EU$28,30,FALSE)</f>
        <v>8</v>
      </c>
      <c r="G39" s="4"/>
    </row>
    <row r="40" spans="2:7" ht="45" customHeight="1">
      <c r="B40" s="80">
        <v>4.8</v>
      </c>
      <c r="C40" s="3"/>
      <c r="D40" s="54" t="s">
        <v>246</v>
      </c>
      <c r="E40" s="55" t="s">
        <v>247</v>
      </c>
      <c r="F40" s="3" t="str">
        <f>VLOOKUP($D$7,'Source Data'!$A$2:$EU$28,31,FALSE)</f>
        <v>&lt;5</v>
      </c>
      <c r="G40" s="4"/>
    </row>
    <row r="41" spans="2:7" ht="45" customHeight="1">
      <c r="B41" s="81">
        <v>5</v>
      </c>
      <c r="C41" s="3" t="s">
        <v>248</v>
      </c>
      <c r="D41" s="56" t="s">
        <v>84</v>
      </c>
      <c r="E41" s="55"/>
      <c r="F41" s="3"/>
      <c r="G41" s="4"/>
    </row>
    <row r="42" spans="2:7" ht="45" customHeight="1">
      <c r="B42" s="80">
        <v>5.0999999999999996</v>
      </c>
      <c r="C42" s="3"/>
      <c r="D42" s="54" t="s">
        <v>85</v>
      </c>
      <c r="E42" s="55" t="s">
        <v>247</v>
      </c>
      <c r="F42" s="3" t="str">
        <f>VLOOKUP($D$7,'Source Data'!$A$2:$EU$28,33,FALSE)</f>
        <v>&lt; 5</v>
      </c>
      <c r="G42" s="4"/>
    </row>
    <row r="43" spans="2:7" ht="45" customHeight="1">
      <c r="B43" s="80">
        <v>5.1999999999999993</v>
      </c>
      <c r="C43" s="3"/>
      <c r="D43" s="54" t="s">
        <v>86</v>
      </c>
      <c r="E43" s="55" t="s">
        <v>247</v>
      </c>
      <c r="F43" s="3" t="str">
        <f>VLOOKUP($D$7,'Source Data'!$A$2:$EU$28,34,FALSE)</f>
        <v xml:space="preserve">&lt; 5 </v>
      </c>
      <c r="G43" s="4"/>
    </row>
    <row r="44" spans="2:7" ht="45" customHeight="1">
      <c r="B44" s="80">
        <v>5.3</v>
      </c>
      <c r="C44" s="3"/>
      <c r="D44" s="54" t="s">
        <v>87</v>
      </c>
      <c r="E44" s="55"/>
      <c r="F44" s="3" t="str">
        <f>VLOOKUP($D$7,'Source Data'!$A$2:$EU$28,35,FALSE)</f>
        <v>xxxxxxxxxxx</v>
      </c>
      <c r="G44" s="4"/>
    </row>
    <row r="45" spans="2:7" ht="45" customHeight="1">
      <c r="B45" s="80">
        <v>5.3999999999999995</v>
      </c>
      <c r="C45" s="3"/>
      <c r="D45" s="54" t="s">
        <v>88</v>
      </c>
      <c r="E45" s="55"/>
      <c r="F45" s="3" t="str">
        <f>VLOOKUP($D$7,'Source Data'!$A$2:$EU$28,36,FALSE)</f>
        <v>xxxxxxxxxxx</v>
      </c>
      <c r="G45" s="4"/>
    </row>
    <row r="46" spans="2:7" ht="27" customHeight="1">
      <c r="B46" s="81">
        <v>6</v>
      </c>
      <c r="C46" s="3" t="s">
        <v>249</v>
      </c>
      <c r="D46" s="56" t="s">
        <v>89</v>
      </c>
      <c r="E46" s="55"/>
      <c r="F46" s="3"/>
      <c r="G46" s="4"/>
    </row>
    <row r="47" spans="2:7" ht="45" customHeight="1">
      <c r="B47" s="80">
        <v>6.1</v>
      </c>
      <c r="C47" s="3"/>
      <c r="D47" s="54" t="s">
        <v>90</v>
      </c>
      <c r="E47" s="55"/>
      <c r="F47" s="3" t="str">
        <f>VLOOKUP($D$7,'Source Data'!$A$2:$EU$28,38,FALSE)</f>
        <v>xxxxxxxxxxx</v>
      </c>
      <c r="G47" s="4" t="s">
        <v>178</v>
      </c>
    </row>
    <row r="48" spans="2:7" ht="31.15" customHeight="1">
      <c r="B48" s="81">
        <v>7</v>
      </c>
      <c r="C48" s="3" t="s">
        <v>250</v>
      </c>
      <c r="D48" s="56" t="s">
        <v>100</v>
      </c>
      <c r="E48" s="55"/>
      <c r="F48" s="3"/>
      <c r="G48" s="4"/>
    </row>
    <row r="49" spans="2:7" ht="45" customHeight="1">
      <c r="B49" s="80">
        <v>7.1</v>
      </c>
      <c r="C49" s="3"/>
      <c r="D49" s="54" t="s">
        <v>93</v>
      </c>
      <c r="E49" s="55"/>
      <c r="F49" s="3" t="str">
        <f>VLOOKUP($D$7,'Source Data'!$A$2:$EU$28,49,FALSE)</f>
        <v>xxxxxxxxxxx</v>
      </c>
      <c r="G49" s="4"/>
    </row>
    <row r="50" spans="2:7" ht="45" customHeight="1">
      <c r="B50" s="80">
        <v>7.2</v>
      </c>
      <c r="C50" s="3"/>
      <c r="D50" s="54" t="s">
        <v>94</v>
      </c>
      <c r="E50" s="55"/>
      <c r="F50" s="3" t="str">
        <f>VLOOKUP($D$7,'Source Data'!$A$2:$EU$28,50,FALSE)</f>
        <v>xxxxxxxxxxx</v>
      </c>
      <c r="G50" s="4"/>
    </row>
    <row r="51" spans="2:7" ht="45" customHeight="1">
      <c r="B51" s="80">
        <v>7.3</v>
      </c>
      <c r="C51" s="3"/>
      <c r="D51" s="54" t="s">
        <v>95</v>
      </c>
      <c r="E51" s="55"/>
      <c r="F51" s="3" t="str">
        <f>VLOOKUP($D$7,'Source Data'!$A$2:$EU$28,51,FALSE)</f>
        <v>xxxxxxxxxxx</v>
      </c>
      <c r="G51" s="4"/>
    </row>
    <row r="52" spans="2:7" ht="45" customHeight="1">
      <c r="B52" s="80">
        <v>7.4</v>
      </c>
      <c r="C52" s="3"/>
      <c r="D52" s="54" t="s">
        <v>96</v>
      </c>
      <c r="E52" s="55" t="s">
        <v>251</v>
      </c>
      <c r="F52" s="3" t="str">
        <f>VLOOKUP($D$7,'Source Data'!$A$2:$EU$28,52,FALSE)</f>
        <v>≥ 31</v>
      </c>
      <c r="G52" s="4"/>
    </row>
    <row r="53" spans="2:7" ht="45" customHeight="1">
      <c r="B53" s="80">
        <v>7.5</v>
      </c>
      <c r="C53" s="3"/>
      <c r="D53" s="54" t="s">
        <v>97</v>
      </c>
      <c r="E53" s="55"/>
      <c r="F53" s="3" t="str">
        <f>VLOOKUP($D$7,'Source Data'!$A$2:$EU$28,53,FALSE)</f>
        <v>Base</v>
      </c>
      <c r="G53" s="4"/>
    </row>
    <row r="54" spans="2:7" ht="45" customHeight="1">
      <c r="B54" s="80">
        <v>7.6</v>
      </c>
      <c r="C54" s="3"/>
      <c r="D54" s="54" t="s">
        <v>98</v>
      </c>
      <c r="E54" s="55"/>
      <c r="F54" s="3" t="str">
        <f>VLOOKUP($D$7,'Source Data'!$A$2:$EU$28,54,FALSE)</f>
        <v>Draw lead</v>
      </c>
      <c r="G54" s="4"/>
    </row>
    <row r="55" spans="2:7" ht="45" customHeight="1">
      <c r="B55" s="80">
        <v>7.7</v>
      </c>
      <c r="C55" s="3"/>
      <c r="D55" s="54" t="s">
        <v>99</v>
      </c>
      <c r="E55" s="55"/>
      <c r="F55" s="3" t="str">
        <f>VLOOKUP($D$7,'Source Data'!$A$2:$EU$28,55,FALSE)</f>
        <v>M12</v>
      </c>
      <c r="G55" s="4"/>
    </row>
    <row r="56" spans="2:7" ht="45" customHeight="1">
      <c r="B56" s="80">
        <v>7.8</v>
      </c>
      <c r="C56" s="3" t="s">
        <v>250</v>
      </c>
      <c r="D56" s="56" t="s">
        <v>101</v>
      </c>
      <c r="E56" s="55"/>
      <c r="F56" s="3"/>
      <c r="G56" s="4"/>
    </row>
    <row r="57" spans="2:7" ht="45" customHeight="1">
      <c r="B57" s="80">
        <v>7.9</v>
      </c>
      <c r="C57" s="3"/>
      <c r="D57" s="2" t="s">
        <v>93</v>
      </c>
      <c r="E57" s="55"/>
      <c r="F57" s="3" t="str">
        <f>VLOOKUP($D$7,'Source Data'!$A$2:$EU$28,57,FALSE)</f>
        <v>xxxxxxxxxxx</v>
      </c>
      <c r="G57" s="4"/>
    </row>
    <row r="58" spans="2:7" ht="45" customHeight="1">
      <c r="B58" s="82" t="s">
        <v>252</v>
      </c>
      <c r="C58" s="3"/>
      <c r="D58" s="2" t="s">
        <v>94</v>
      </c>
      <c r="E58" s="55"/>
      <c r="F58" s="3" t="str">
        <f>VLOOKUP($D$7,'Source Data'!$A$2:$EU$28,58,FALSE)</f>
        <v>xxxxxxxxxxx</v>
      </c>
      <c r="G58" s="4"/>
    </row>
    <row r="59" spans="2:7" ht="45" customHeight="1">
      <c r="B59" s="82" t="s">
        <v>253</v>
      </c>
      <c r="C59" s="3"/>
      <c r="D59" s="2" t="s">
        <v>95</v>
      </c>
      <c r="E59" s="55"/>
      <c r="F59" s="3" t="str">
        <f>VLOOKUP($D$7,'Source Data'!$A$2:$EU$28,59,FALSE)</f>
        <v>xxxxxxxxxxx</v>
      </c>
      <c r="G59" s="4"/>
    </row>
    <row r="60" spans="2:7" ht="45" customHeight="1">
      <c r="B60" s="82" t="s">
        <v>254</v>
      </c>
      <c r="C60" s="3"/>
      <c r="D60" s="2" t="s">
        <v>96</v>
      </c>
      <c r="E60" s="55"/>
      <c r="F60" s="3" t="str">
        <f>VLOOKUP($D$7,'Source Data'!$A$2:$EU$28,60,FALSE)</f>
        <v>≥ 31</v>
      </c>
      <c r="G60" s="4"/>
    </row>
    <row r="61" spans="2:7" ht="45" customHeight="1">
      <c r="B61" s="82" t="s">
        <v>255</v>
      </c>
      <c r="C61" s="3"/>
      <c r="D61" s="2" t="s">
        <v>97</v>
      </c>
      <c r="E61" s="55"/>
      <c r="F61" s="3" t="str">
        <f>VLOOKUP($D$7,'Source Data'!$A$2:$EU$28,61,FALSE)</f>
        <v>Base</v>
      </c>
      <c r="G61" s="4"/>
    </row>
    <row r="62" spans="2:7" ht="45" customHeight="1">
      <c r="B62" s="82" t="s">
        <v>256</v>
      </c>
      <c r="C62" s="3"/>
      <c r="D62" s="2" t="s">
        <v>98</v>
      </c>
      <c r="E62" s="55"/>
      <c r="F62" s="3" t="str">
        <f>VLOOKUP($D$7,'Source Data'!$A$2:$EU$28,62,FALSE)</f>
        <v>Draw lead</v>
      </c>
      <c r="G62" s="4"/>
    </row>
    <row r="63" spans="2:7" ht="45" customHeight="1">
      <c r="B63" s="82" t="s">
        <v>257</v>
      </c>
      <c r="C63" s="3"/>
      <c r="D63" s="2" t="s">
        <v>99</v>
      </c>
      <c r="E63" s="55"/>
      <c r="F63" s="3" t="str">
        <f>VLOOKUP($D$7,'Source Data'!$A$2:$EU$28,63,FALSE)</f>
        <v>M12</v>
      </c>
      <c r="G63" s="4"/>
    </row>
    <row r="64" spans="2:7" ht="15.6">
      <c r="B64" s="81">
        <v>8</v>
      </c>
      <c r="C64" s="3" t="s">
        <v>250</v>
      </c>
      <c r="D64" s="56" t="s">
        <v>102</v>
      </c>
      <c r="E64" s="55"/>
      <c r="F64" s="3"/>
      <c r="G64" s="4"/>
    </row>
    <row r="65" spans="2:7" ht="45" customHeight="1">
      <c r="B65" s="80">
        <v>8.1</v>
      </c>
      <c r="C65" s="3"/>
      <c r="D65" s="54" t="s">
        <v>93</v>
      </c>
      <c r="E65" s="55"/>
      <c r="F65" s="3" t="str">
        <f>VLOOKUP($D$7,'Source Data'!$A$2:$EU$28,65,FALSE)</f>
        <v>xxxxxxxxxxx</v>
      </c>
      <c r="G65" s="4"/>
    </row>
    <row r="66" spans="2:7" ht="45" customHeight="1">
      <c r="B66" s="80">
        <v>8.1999999999999993</v>
      </c>
      <c r="C66" s="3"/>
      <c r="D66" s="54" t="s">
        <v>94</v>
      </c>
      <c r="E66" s="55"/>
      <c r="F66" s="3" t="str">
        <f>VLOOKUP($D$7,'Source Data'!$A$2:$EU$28,66,FALSE)</f>
        <v>xxxxxxxxxxx</v>
      </c>
      <c r="G66" s="4"/>
    </row>
    <row r="67" spans="2:7" ht="45" customHeight="1">
      <c r="B67" s="80">
        <v>8.3000000000000007</v>
      </c>
      <c r="C67" s="3"/>
      <c r="D67" s="54" t="s">
        <v>95</v>
      </c>
      <c r="E67" s="55"/>
      <c r="F67" s="3" t="str">
        <f>VLOOKUP($D$7,'Source Data'!$A$2:$EU$28,67,FALSE)</f>
        <v>xxxxxxxxxxx</v>
      </c>
      <c r="G67" s="4"/>
    </row>
    <row r="68" spans="2:7" ht="45" customHeight="1">
      <c r="B68" s="80">
        <v>8.4</v>
      </c>
      <c r="C68" s="3"/>
      <c r="D68" s="54" t="s">
        <v>99</v>
      </c>
      <c r="E68" s="55"/>
      <c r="F68" s="3" t="str">
        <f>VLOOKUP($D$7,'Source Data'!$A$2:$EU$28,68,FALSE)</f>
        <v>M12</v>
      </c>
      <c r="G68" s="4"/>
    </row>
    <row r="69" spans="2:7" ht="28.15" customHeight="1">
      <c r="B69" s="81">
        <v>9</v>
      </c>
      <c r="C69" s="3" t="s">
        <v>258</v>
      </c>
      <c r="D69" s="56" t="s">
        <v>105</v>
      </c>
      <c r="E69" s="55"/>
      <c r="F69" s="3"/>
      <c r="G69" s="4"/>
    </row>
    <row r="70" spans="2:7" ht="45" customHeight="1">
      <c r="B70" s="80">
        <v>9.1</v>
      </c>
      <c r="C70" s="3"/>
      <c r="D70" s="54" t="s">
        <v>106</v>
      </c>
      <c r="E70" s="55"/>
      <c r="F70" s="3" t="str">
        <f>VLOOKUP($D$7,'Source Data'!$A$2:$EU$28,72,FALSE)</f>
        <v>Distribution</v>
      </c>
      <c r="G70" s="4" t="s">
        <v>178</v>
      </c>
    </row>
    <row r="71" spans="2:7" ht="45" customHeight="1">
      <c r="B71" s="80">
        <v>9.1999999999999993</v>
      </c>
      <c r="C71" s="3"/>
      <c r="D71" s="54" t="s">
        <v>107</v>
      </c>
      <c r="E71" s="55" t="s">
        <v>259</v>
      </c>
      <c r="F71" s="3">
        <f>VLOOKUP($D$7,'Source Data'!$A$2:$EU$28,73,FALSE)</f>
        <v>80500</v>
      </c>
      <c r="G71" s="4" t="s">
        <v>178</v>
      </c>
    </row>
    <row r="72" spans="2:7" ht="45" customHeight="1">
      <c r="B72" s="80">
        <v>9.3000000000000007</v>
      </c>
      <c r="C72" s="3"/>
      <c r="D72" s="54" t="s">
        <v>108</v>
      </c>
      <c r="E72" s="55" t="s">
        <v>259</v>
      </c>
      <c r="F72" s="3">
        <f>VLOOKUP($D$7,'Source Data'!$A$2:$EU$28,74,FALSE)</f>
        <v>17500</v>
      </c>
      <c r="G72" s="4" t="s">
        <v>178</v>
      </c>
    </row>
    <row r="73" spans="2:7" ht="45" customHeight="1">
      <c r="B73" s="80">
        <v>9.4</v>
      </c>
      <c r="C73" s="3"/>
      <c r="D73" s="54" t="s">
        <v>260</v>
      </c>
      <c r="E73" s="55" t="s">
        <v>261</v>
      </c>
      <c r="F73" s="3">
        <f>VLOOKUP($D$7,'Source Data'!$A$2:$EU$28,75,FALSE)</f>
        <v>320</v>
      </c>
      <c r="G73" s="4"/>
    </row>
    <row r="74" spans="2:7" ht="45" customHeight="1">
      <c r="B74" s="80">
        <v>9.5</v>
      </c>
      <c r="C74" s="3"/>
      <c r="D74" s="54" t="s">
        <v>262</v>
      </c>
      <c r="E74" s="55" t="s">
        <v>261</v>
      </c>
      <c r="F74" s="3">
        <f>VLOOKUP($D$7,'Source Data'!$A$2:$EU$28,151,FALSE)</f>
        <v>120</v>
      </c>
      <c r="G74" s="4"/>
    </row>
    <row r="75" spans="2:7" ht="45" customHeight="1">
      <c r="B75" s="80">
        <v>9.6</v>
      </c>
      <c r="C75" s="3"/>
      <c r="D75" s="54" t="s">
        <v>263</v>
      </c>
      <c r="E75" s="55" t="s">
        <v>261</v>
      </c>
      <c r="F75" s="3">
        <f>VLOOKUP($D$7,'Source Data'!$A$2:$EU$28,76,FALSE)</f>
        <v>2600</v>
      </c>
      <c r="G75" s="4"/>
    </row>
    <row r="76" spans="2:7" ht="27" customHeight="1">
      <c r="B76" s="81">
        <v>10</v>
      </c>
      <c r="C76" s="3" t="s">
        <v>258</v>
      </c>
      <c r="D76" s="57" t="s">
        <v>111</v>
      </c>
      <c r="E76" s="55"/>
      <c r="F76" s="3"/>
      <c r="G76" s="4"/>
    </row>
    <row r="77" spans="2:7" ht="45" customHeight="1">
      <c r="B77" s="80">
        <v>10.1</v>
      </c>
      <c r="C77" s="3"/>
      <c r="D77" s="58" t="s">
        <v>112</v>
      </c>
      <c r="E77" s="55" t="s">
        <v>264</v>
      </c>
      <c r="F77" s="59" t="str">
        <f>VLOOKUP($D$7,'Source Data'!$A$2:$EU$28,78,FALSE)</f>
        <v>4,0 to 5,0</v>
      </c>
      <c r="G77" s="4"/>
    </row>
    <row r="78" spans="2:7" ht="45" customHeight="1">
      <c r="B78" s="80">
        <v>10.199999999999999</v>
      </c>
      <c r="C78" s="3"/>
      <c r="D78" s="58" t="s">
        <v>113</v>
      </c>
      <c r="E78" s="55"/>
      <c r="F78" s="59" t="str">
        <f>VLOOKUP($D$7,'Source Data'!$A$2:$EU$28,79,FALSE)</f>
        <v>xxxxxxxxxx</v>
      </c>
      <c r="G78" s="4"/>
    </row>
    <row r="79" spans="2:7" ht="27" customHeight="1">
      <c r="B79" s="81">
        <v>11</v>
      </c>
      <c r="C79" s="3"/>
      <c r="D79" s="117" t="s">
        <v>299</v>
      </c>
      <c r="E79" s="55"/>
      <c r="F79" s="3"/>
      <c r="G79" s="4"/>
    </row>
    <row r="80" spans="2:7" ht="45" customHeight="1">
      <c r="B80" s="80">
        <v>11.1</v>
      </c>
      <c r="C80" s="3"/>
      <c r="D80" s="54" t="s">
        <v>115</v>
      </c>
      <c r="E80" s="55" t="s">
        <v>266</v>
      </c>
      <c r="F80" s="59" t="str">
        <f>VLOOKUP($D$7,'Source Data'!$A$2:$EU$28,81,FALSE)</f>
        <v xml:space="preserve">≤ 48 </v>
      </c>
      <c r="G80" s="4"/>
    </row>
    <row r="81" spans="2:7" ht="22.15" customHeight="1">
      <c r="B81" s="81">
        <v>12</v>
      </c>
      <c r="C81" s="3"/>
      <c r="D81" s="56" t="s">
        <v>267</v>
      </c>
      <c r="E81" s="55"/>
      <c r="F81" s="3"/>
      <c r="G81" s="4"/>
    </row>
    <row r="82" spans="2:7" ht="45" customHeight="1">
      <c r="B82" s="80">
        <v>12.1</v>
      </c>
      <c r="C82" s="3"/>
      <c r="D82" s="54" t="s">
        <v>117</v>
      </c>
      <c r="E82" s="55"/>
      <c r="F82" s="59" t="str">
        <f>VLOOKUP($D$7,'Source Data'!$A$2:$EU$28,83,FALSE)</f>
        <v>xxxxxxxxxxx</v>
      </c>
      <c r="G82" s="4"/>
    </row>
    <row r="83" spans="2:7" ht="45" customHeight="1">
      <c r="B83" s="80">
        <v>12.2</v>
      </c>
      <c r="C83" s="3"/>
      <c r="D83" s="54" t="s">
        <v>118</v>
      </c>
      <c r="E83" s="55"/>
      <c r="F83" s="59" t="str">
        <f>VLOOKUP($D$7,'Source Data'!$A$2:$EU$28,84,FALSE)</f>
        <v>xxxxxxxxxxx</v>
      </c>
      <c r="G83" s="4"/>
    </row>
    <row r="84" spans="2:7" ht="21.6" customHeight="1">
      <c r="B84" s="81">
        <v>13</v>
      </c>
      <c r="C84" s="3"/>
      <c r="D84" s="56" t="s">
        <v>119</v>
      </c>
      <c r="E84" s="55"/>
      <c r="F84" s="3"/>
      <c r="G84" s="4"/>
    </row>
    <row r="85" spans="2:7" ht="45" customHeight="1">
      <c r="B85" s="80">
        <v>13.1</v>
      </c>
      <c r="C85" s="3"/>
      <c r="D85" s="54" t="s">
        <v>117</v>
      </c>
      <c r="E85" s="55"/>
      <c r="F85" s="59" t="str">
        <f>VLOOKUP($D$7,'Source Data'!$A$2:$EU$28,86,FALSE)</f>
        <v>xxxxxxxxxxx</v>
      </c>
      <c r="G85" s="4"/>
    </row>
    <row r="86" spans="2:7" ht="45" customHeight="1">
      <c r="B86" s="80">
        <v>13.2</v>
      </c>
      <c r="C86" s="3"/>
      <c r="D86" s="54" t="s">
        <v>118</v>
      </c>
      <c r="E86" s="55"/>
      <c r="F86" s="59" t="str">
        <f>VLOOKUP($D$7,'Source Data'!$A$2:$EU$28,87,FALSE)</f>
        <v>xxxxxxxxxxx</v>
      </c>
      <c r="G86" s="4"/>
    </row>
    <row r="87" spans="2:7" ht="24.6" customHeight="1">
      <c r="B87" s="81">
        <v>14</v>
      </c>
      <c r="C87" s="3"/>
      <c r="D87" s="56" t="s">
        <v>120</v>
      </c>
      <c r="E87" s="55"/>
      <c r="F87" s="3"/>
      <c r="G87" s="4"/>
    </row>
    <row r="88" spans="2:7" ht="45" customHeight="1">
      <c r="B88" s="80">
        <v>14.1</v>
      </c>
      <c r="C88" s="3"/>
      <c r="D88" s="54" t="s">
        <v>121</v>
      </c>
      <c r="E88" s="55"/>
      <c r="F88" s="59" t="str">
        <f>VLOOKUP($D$7,'Source Data'!$A$2:$EU$28,89,FALSE)</f>
        <v>Steel or Amporphous</v>
      </c>
      <c r="G88" s="4"/>
    </row>
    <row r="89" spans="2:7" ht="45" customHeight="1">
      <c r="B89" s="80">
        <v>14.2</v>
      </c>
      <c r="C89" s="3"/>
      <c r="D89" s="54" t="s">
        <v>122</v>
      </c>
      <c r="E89" s="55"/>
      <c r="F89" s="59" t="str">
        <f>VLOOKUP($D$7,'Source Data'!$A$2:$EU$28,90,FALSE)</f>
        <v>xxxxxxxxxxx</v>
      </c>
      <c r="G89" s="4"/>
    </row>
    <row r="90" spans="2:7" ht="45" customHeight="1">
      <c r="B90" s="80">
        <v>14.3</v>
      </c>
      <c r="C90" s="3"/>
      <c r="D90" s="54" t="s">
        <v>123</v>
      </c>
      <c r="E90" s="55"/>
      <c r="F90" s="59" t="str">
        <f>VLOOKUP($D$7,'Source Data'!$A$2:$EU$28,91,FALSE)</f>
        <v>xxxxxxxxxxx</v>
      </c>
      <c r="G90" s="4"/>
    </row>
    <row r="91" spans="2:7" ht="45" customHeight="1">
      <c r="B91" s="80">
        <v>14.4</v>
      </c>
      <c r="C91" s="3"/>
      <c r="D91" s="54" t="s">
        <v>124</v>
      </c>
      <c r="E91" s="55"/>
      <c r="F91" s="59" t="str">
        <f>VLOOKUP($D$7,'Source Data'!$A$2:$EU$28,92,FALSE)</f>
        <v>xxxxxxxxxxx</v>
      </c>
      <c r="G91" s="4"/>
    </row>
    <row r="92" spans="2:7" ht="23.45" customHeight="1">
      <c r="B92" s="81">
        <v>15</v>
      </c>
      <c r="C92" s="3" t="s">
        <v>268</v>
      </c>
      <c r="D92" s="57" t="s">
        <v>125</v>
      </c>
      <c r="E92" s="55"/>
      <c r="F92" s="59"/>
      <c r="G92" s="4"/>
    </row>
    <row r="93" spans="2:7" ht="45" customHeight="1">
      <c r="B93" s="80">
        <v>15.1</v>
      </c>
      <c r="C93" s="3"/>
      <c r="D93" s="54" t="s">
        <v>126</v>
      </c>
      <c r="E93" s="55"/>
      <c r="F93" s="59" t="str">
        <f>VLOOKUP($D$7,'Source Data'!$A$2:$EU$28,94,FALSE)</f>
        <v>Sealed</v>
      </c>
      <c r="G93" s="4"/>
    </row>
    <row r="94" spans="2:7" ht="45" customHeight="1">
      <c r="B94" s="80">
        <v>15.2</v>
      </c>
      <c r="C94" s="3"/>
      <c r="D94" s="54" t="s">
        <v>127</v>
      </c>
      <c r="E94" s="55"/>
      <c r="F94" s="59" t="str">
        <f>VLOOKUP($D$7,'Source Data'!$A$2:$EU$28,95,FALSE)</f>
        <v>xxxxxxxxxx</v>
      </c>
      <c r="G94" s="4"/>
    </row>
    <row r="95" spans="2:7" ht="21.6" customHeight="1">
      <c r="B95" s="81">
        <v>16</v>
      </c>
      <c r="C95" s="3" t="s">
        <v>269</v>
      </c>
      <c r="D95" s="56" t="s">
        <v>128</v>
      </c>
      <c r="E95" s="55"/>
      <c r="F95" s="59"/>
      <c r="G95" s="4"/>
    </row>
    <row r="96" spans="2:7" ht="40.15" customHeight="1">
      <c r="B96" s="80">
        <v>16.100000000000001</v>
      </c>
      <c r="C96" s="3" t="s">
        <v>270</v>
      </c>
      <c r="D96" s="54" t="s">
        <v>129</v>
      </c>
      <c r="E96" s="55" t="s">
        <v>245</v>
      </c>
      <c r="F96" s="59" t="str">
        <f>VLOOKUP($D$7,'Source Data'!$A$2:$EU$28,97,FALSE)</f>
        <v>xxxxxxxxxxx</v>
      </c>
      <c r="G96" s="4"/>
    </row>
    <row r="97" spans="2:7" ht="40.15" customHeight="1">
      <c r="B97" s="80">
        <v>16.2</v>
      </c>
      <c r="C97" s="3" t="s">
        <v>270</v>
      </c>
      <c r="D97" s="54" t="s">
        <v>130</v>
      </c>
      <c r="E97" s="55" t="s">
        <v>245</v>
      </c>
      <c r="F97" s="59" t="str">
        <f>VLOOKUP($D$7,'Source Data'!$A$2:$EU$28,98,FALSE)</f>
        <v>≤ 1 500</v>
      </c>
      <c r="G97" s="4"/>
    </row>
    <row r="98" spans="2:7" ht="40.15" customHeight="1">
      <c r="B98" s="80">
        <v>16.3</v>
      </c>
      <c r="C98" s="3" t="s">
        <v>270</v>
      </c>
      <c r="D98" s="54" t="s">
        <v>131</v>
      </c>
      <c r="E98" s="55" t="s">
        <v>245</v>
      </c>
      <c r="F98" s="59" t="str">
        <f>VLOOKUP($D$7,'Source Data'!$A$2:$EU$28,99,FALSE)</f>
        <v>≤ 2 000</v>
      </c>
      <c r="G98" s="4"/>
    </row>
    <row r="99" spans="2:7" ht="40.15" customHeight="1">
      <c r="B99" s="80">
        <v>16.399999999999999</v>
      </c>
      <c r="C99" s="3" t="s">
        <v>270</v>
      </c>
      <c r="D99" s="54" t="s">
        <v>132</v>
      </c>
      <c r="E99" s="55" t="s">
        <v>271</v>
      </c>
      <c r="F99" s="3" t="str">
        <f>VLOOKUP($D$7,'Source Data'!$A$2:$EU$28,100,FALSE)</f>
        <v>≤ 1 700</v>
      </c>
      <c r="G99" s="4"/>
    </row>
    <row r="100" spans="2:7" ht="40.15" customHeight="1">
      <c r="B100" s="80">
        <v>16.5</v>
      </c>
      <c r="C100" s="3"/>
      <c r="D100" s="54" t="s">
        <v>133</v>
      </c>
      <c r="E100" s="55" t="s">
        <v>272</v>
      </c>
      <c r="F100" s="3" t="str">
        <f>VLOOKUP($D$7,'Source Data'!$A$2:$EU$28,101,FALSE)</f>
        <v>xxxxxxxxxxx</v>
      </c>
      <c r="G100" s="4"/>
    </row>
    <row r="101" spans="2:7" ht="40.15" customHeight="1">
      <c r="B101" s="80">
        <v>16.600000000000001</v>
      </c>
      <c r="C101" s="3"/>
      <c r="D101" s="54" t="s">
        <v>134</v>
      </c>
      <c r="E101" s="55" t="s">
        <v>245</v>
      </c>
      <c r="F101" s="3">
        <f>VLOOKUP($D$7,'Source Data'!$A$2:$EU$28,102,FALSE)</f>
        <v>190</v>
      </c>
      <c r="G101" s="4"/>
    </row>
    <row r="102" spans="2:7" ht="45" customHeight="1">
      <c r="B102" s="80">
        <v>16.7</v>
      </c>
      <c r="C102" s="3" t="s">
        <v>273</v>
      </c>
      <c r="D102" s="54" t="s">
        <v>135</v>
      </c>
      <c r="E102" s="55" t="s">
        <v>245</v>
      </c>
      <c r="F102" s="3">
        <f>VLOOKUP($D$7,'Source Data'!$A$2:$EU$28,103,FALSE)</f>
        <v>100</v>
      </c>
      <c r="G102" s="4"/>
    </row>
    <row r="103" spans="2:7" ht="25.9" customHeight="1">
      <c r="B103" s="81">
        <v>17</v>
      </c>
      <c r="C103" s="3" t="s">
        <v>273</v>
      </c>
      <c r="D103" s="56" t="s">
        <v>136</v>
      </c>
      <c r="E103" s="55"/>
      <c r="F103" s="3"/>
      <c r="G103" s="4"/>
    </row>
    <row r="104" spans="2:7" ht="45" customHeight="1">
      <c r="B104" s="80">
        <v>17.100000000000001</v>
      </c>
      <c r="C104" s="3"/>
      <c r="D104" s="54" t="s">
        <v>137</v>
      </c>
      <c r="E104" s="55"/>
      <c r="F104" s="3" t="str">
        <f>VLOOKUP($D$7,'Source Data'!$A$2:$EU$28,105,FALSE)</f>
        <v>No</v>
      </c>
      <c r="G104" s="4" t="s">
        <v>178</v>
      </c>
    </row>
    <row r="105" spans="2:7" ht="45" customHeight="1">
      <c r="B105" s="80" t="s">
        <v>274</v>
      </c>
      <c r="C105" s="83"/>
      <c r="D105" s="54" t="s">
        <v>138</v>
      </c>
      <c r="E105" s="55"/>
      <c r="F105" s="3" t="str">
        <f>VLOOKUP($D$7,'Source Data'!$A$2:$EU$28,106,FALSE)</f>
        <v>N/A</v>
      </c>
      <c r="G105" s="4" t="s">
        <v>178</v>
      </c>
    </row>
    <row r="106" spans="2:7" ht="45" customHeight="1">
      <c r="B106" s="80" t="s">
        <v>275</v>
      </c>
      <c r="C106" s="83"/>
      <c r="D106" s="58" t="s">
        <v>139</v>
      </c>
      <c r="E106" s="55"/>
      <c r="F106" s="3" t="str">
        <f>VLOOKUP($D$7,'Source Data'!$A$2:$EU$28,107,FALSE)</f>
        <v>N/A</v>
      </c>
      <c r="G106" s="4" t="s">
        <v>178</v>
      </c>
    </row>
    <row r="107" spans="2:7" ht="45" customHeight="1">
      <c r="B107" s="80" t="s">
        <v>276</v>
      </c>
      <c r="C107" s="83"/>
      <c r="D107" s="58" t="s">
        <v>140</v>
      </c>
      <c r="E107" s="55"/>
      <c r="F107" s="3" t="str">
        <f>VLOOKUP($D$7,'Source Data'!$A$2:$EU$28,108,FALSE)</f>
        <v>N/A</v>
      </c>
      <c r="G107" s="4" t="s">
        <v>178</v>
      </c>
    </row>
    <row r="108" spans="2:7" ht="45" customHeight="1">
      <c r="B108" s="80" t="s">
        <v>277</v>
      </c>
      <c r="C108" s="83"/>
      <c r="D108" s="58" t="s">
        <v>141</v>
      </c>
      <c r="E108" s="55"/>
      <c r="F108" s="3" t="str">
        <f>VLOOKUP($D$7,'Source Data'!$A$2:$EU$28,109,FALSE)</f>
        <v>N/A</v>
      </c>
      <c r="G108" s="4"/>
    </row>
    <row r="109" spans="2:7" ht="45" customHeight="1">
      <c r="B109" s="80">
        <v>17.2</v>
      </c>
      <c r="C109" s="3"/>
      <c r="D109" s="54" t="s">
        <v>142</v>
      </c>
      <c r="E109" s="55" t="s">
        <v>245</v>
      </c>
      <c r="F109" s="3" t="str">
        <f>VLOOKUP($D$7,'Source Data'!$A$2:$EU$28,110,FALSE)</f>
        <v>N/A</v>
      </c>
      <c r="G109" s="4" t="s">
        <v>178</v>
      </c>
    </row>
    <row r="110" spans="2:7" ht="45" customHeight="1">
      <c r="B110" s="80">
        <v>17.3</v>
      </c>
      <c r="C110" s="3"/>
      <c r="D110" s="54" t="s">
        <v>143</v>
      </c>
      <c r="E110" s="55" t="s">
        <v>245</v>
      </c>
      <c r="F110" s="3" t="str">
        <f>VLOOKUP($D$7,'Source Data'!$A$2:$EU$28,111,FALSE)</f>
        <v>N/A</v>
      </c>
      <c r="G110" s="4" t="s">
        <v>178</v>
      </c>
    </row>
    <row r="111" spans="2:7" ht="45" customHeight="1">
      <c r="B111" s="80">
        <v>17.399999999999999</v>
      </c>
      <c r="C111" s="3"/>
      <c r="D111" s="54" t="s">
        <v>144</v>
      </c>
      <c r="E111" s="55" t="s">
        <v>245</v>
      </c>
      <c r="F111" s="3" t="str">
        <f>VLOOKUP($D$7,'Source Data'!$A$2:$EU$28,112,FALSE)</f>
        <v>N/A</v>
      </c>
      <c r="G111" s="4" t="s">
        <v>178</v>
      </c>
    </row>
    <row r="112" spans="2:7" ht="45" customHeight="1">
      <c r="B112" s="80">
        <v>17.5</v>
      </c>
      <c r="C112" s="3"/>
      <c r="D112" s="54" t="s">
        <v>145</v>
      </c>
      <c r="E112" s="55" t="s">
        <v>245</v>
      </c>
      <c r="F112" s="3" t="str">
        <f>VLOOKUP($D$7,'Source Data'!$A$2:$EU$28,113,FALSE)</f>
        <v>N/A</v>
      </c>
      <c r="G112" s="4" t="s">
        <v>178</v>
      </c>
    </row>
    <row r="113" spans="2:7" ht="45" customHeight="1">
      <c r="B113" s="80">
        <v>17.600000000000001</v>
      </c>
      <c r="C113" s="3"/>
      <c r="D113" s="54" t="s">
        <v>146</v>
      </c>
      <c r="E113" s="55" t="s">
        <v>245</v>
      </c>
      <c r="F113" s="3" t="str">
        <f>VLOOKUP($D$7,'Source Data'!$A$2:$EU$28,114,FALSE)</f>
        <v>N/A</v>
      </c>
      <c r="G113" s="4" t="s">
        <v>178</v>
      </c>
    </row>
    <row r="114" spans="2:7" ht="45" customHeight="1">
      <c r="B114" s="81">
        <v>18</v>
      </c>
      <c r="C114" s="3" t="s">
        <v>278</v>
      </c>
      <c r="D114" s="56" t="s">
        <v>147</v>
      </c>
      <c r="E114" s="55"/>
      <c r="F114" s="3"/>
      <c r="G114" s="4"/>
    </row>
    <row r="115" spans="2:7" ht="45" customHeight="1">
      <c r="B115" s="80">
        <v>18.100000000000001</v>
      </c>
      <c r="C115" s="3"/>
      <c r="D115" s="54" t="s">
        <v>148</v>
      </c>
      <c r="E115" s="55"/>
      <c r="F115" s="3" t="str">
        <f>VLOOKUP($D$7,'Source Data'!$A$2:$EU$28,116,FALSE)</f>
        <v>Yes</v>
      </c>
      <c r="G115" s="4" t="s">
        <v>178</v>
      </c>
    </row>
    <row r="116" spans="2:7" ht="45" customHeight="1">
      <c r="B116" s="80">
        <v>18.2</v>
      </c>
      <c r="C116" s="3" t="s">
        <v>279</v>
      </c>
      <c r="D116" s="54" t="s">
        <v>149</v>
      </c>
      <c r="E116" s="55" t="s">
        <v>245</v>
      </c>
      <c r="F116" s="3">
        <f>VLOOKUP($D$7,'Source Data'!$A$2:$EU$28,117,FALSE)</f>
        <v>400</v>
      </c>
      <c r="G116" s="4"/>
    </row>
    <row r="117" spans="2:7" ht="45" customHeight="1">
      <c r="B117" s="80">
        <v>18.3</v>
      </c>
      <c r="C117" s="3" t="s">
        <v>279</v>
      </c>
      <c r="D117" s="54" t="s">
        <v>150</v>
      </c>
      <c r="E117" s="55" t="s">
        <v>245</v>
      </c>
      <c r="F117" s="3" t="str">
        <f>VLOOKUP($D$7,'Source Data'!$A$2:$EU$28,118,FALSE)</f>
        <v>xxxxxxxxxxx</v>
      </c>
      <c r="G117" s="4"/>
    </row>
    <row r="118" spans="2:7" ht="45" customHeight="1">
      <c r="B118" s="80">
        <v>18.399999999999999</v>
      </c>
      <c r="C118" s="3" t="s">
        <v>279</v>
      </c>
      <c r="D118" s="54" t="s">
        <v>151</v>
      </c>
      <c r="E118" s="55" t="s">
        <v>245</v>
      </c>
      <c r="F118" s="3" t="str">
        <f>VLOOKUP($D$7,'Source Data'!$A$2:$EU$28,119,FALSE)</f>
        <v>≥ 320</v>
      </c>
      <c r="G118" s="4"/>
    </row>
    <row r="119" spans="2:7" ht="45" customHeight="1">
      <c r="B119" s="80">
        <v>18.5</v>
      </c>
      <c r="C119" s="3" t="s">
        <v>279</v>
      </c>
      <c r="D119" s="54" t="s">
        <v>152</v>
      </c>
      <c r="E119" s="55" t="s">
        <v>245</v>
      </c>
      <c r="F119" s="3" t="str">
        <f>VLOOKUP($D$7,'Source Data'!$A$2:$EU$28,110,FALSE)</f>
        <v>N/A</v>
      </c>
      <c r="G119" s="4"/>
    </row>
    <row r="120" spans="2:7" ht="45" customHeight="1">
      <c r="B120" s="80">
        <v>18.600000000000001</v>
      </c>
      <c r="C120" s="3" t="s">
        <v>279</v>
      </c>
      <c r="D120" s="54" t="s">
        <v>145</v>
      </c>
      <c r="E120" s="55" t="s">
        <v>245</v>
      </c>
      <c r="F120" s="3" t="str">
        <f>VLOOKUP($D$7,'Source Data'!$A$2:$EU$28,111,FALSE)</f>
        <v>N/A</v>
      </c>
      <c r="G120" s="4"/>
    </row>
    <row r="121" spans="2:7" ht="45" customHeight="1">
      <c r="B121" s="81">
        <v>19</v>
      </c>
      <c r="C121" s="3" t="s">
        <v>280</v>
      </c>
      <c r="D121" s="56" t="s">
        <v>153</v>
      </c>
      <c r="E121" s="55"/>
      <c r="F121" s="3"/>
      <c r="G121" s="4"/>
    </row>
    <row r="122" spans="2:7" ht="45" customHeight="1">
      <c r="B122" s="80">
        <v>19.100000000000001</v>
      </c>
      <c r="C122" s="3"/>
      <c r="D122" s="54" t="s">
        <v>154</v>
      </c>
      <c r="E122" s="55"/>
      <c r="F122" s="3" t="str">
        <f>VLOOKUP($D$7,'Source Data'!$A$2:$EU$28,123,FALSE)</f>
        <v>Yes</v>
      </c>
      <c r="G122" s="4"/>
    </row>
    <row r="123" spans="2:7" ht="45" customHeight="1">
      <c r="B123" s="80">
        <v>19.2</v>
      </c>
      <c r="C123" s="3"/>
      <c r="D123" s="54" t="s">
        <v>155</v>
      </c>
      <c r="E123" s="55" t="s">
        <v>245</v>
      </c>
      <c r="F123" s="3" t="str">
        <f>VLOOKUP($D$7,'Source Data'!$A$2:$EU$28,124,FALSE)</f>
        <v xml:space="preserve">≥ 30 </v>
      </c>
      <c r="G123" s="4"/>
    </row>
    <row r="124" spans="2:7" ht="45" customHeight="1">
      <c r="B124" s="81">
        <v>20</v>
      </c>
      <c r="C124" s="3" t="s">
        <v>281</v>
      </c>
      <c r="D124" s="56" t="s">
        <v>156</v>
      </c>
      <c r="E124" s="55"/>
      <c r="F124" s="3"/>
      <c r="G124" s="4"/>
    </row>
    <row r="125" spans="2:7" ht="45" customHeight="1">
      <c r="B125" s="80">
        <v>20.100000000000001</v>
      </c>
      <c r="C125" s="3"/>
      <c r="D125" s="54" t="s">
        <v>157</v>
      </c>
      <c r="E125" s="55"/>
      <c r="F125" s="3" t="str">
        <f>VLOOKUP($D$7,'Source Data'!$A$2:$EU$28,126,FALSE)</f>
        <v>316 Stainless Steel or Mild Steel</v>
      </c>
      <c r="G125" s="4"/>
    </row>
    <row r="126" spans="2:7" ht="45" customHeight="1">
      <c r="B126" s="80">
        <v>20.2</v>
      </c>
      <c r="C126" s="3"/>
      <c r="D126" s="54" t="s">
        <v>158</v>
      </c>
      <c r="E126" s="55" t="s">
        <v>245</v>
      </c>
      <c r="F126" s="3" t="str">
        <f>VLOOKUP($D$7,'Source Data'!$A$2:$EU$28,127,FALSE)</f>
        <v>≥ 30</v>
      </c>
      <c r="G126" s="4"/>
    </row>
    <row r="127" spans="2:7" ht="45" customHeight="1">
      <c r="B127" s="80">
        <v>20.3</v>
      </c>
      <c r="C127" s="3"/>
      <c r="D127" s="54" t="s">
        <v>159</v>
      </c>
      <c r="E127" s="55"/>
      <c r="F127" s="3" t="str">
        <f>VLOOKUP($D$7,'Source Data'!$A$2:$EU$28,128,FALSE)</f>
        <v>316 Stainless Steel or Mild Steel</v>
      </c>
      <c r="G127" s="4"/>
    </row>
    <row r="128" spans="2:7" ht="45" customHeight="1">
      <c r="B128" s="80">
        <v>20.399999999999999</v>
      </c>
      <c r="C128" s="3"/>
      <c r="D128" s="54" t="s">
        <v>160</v>
      </c>
      <c r="E128" s="55" t="s">
        <v>245</v>
      </c>
      <c r="F128" s="3" t="str">
        <f>VLOOKUP($D$7,'Source Data'!$A$2:$EU$28,129,FALSE)</f>
        <v xml:space="preserve">M12 x 25 </v>
      </c>
      <c r="G128" s="4"/>
    </row>
    <row r="129" spans="2:7" ht="45" customHeight="1">
      <c r="B129" s="80">
        <v>20.5</v>
      </c>
      <c r="C129" s="3"/>
      <c r="D129" s="54" t="s">
        <v>161</v>
      </c>
      <c r="E129" s="55"/>
      <c r="F129" s="3" t="str">
        <f>VLOOKUP($D$7,'Source Data'!$A$2:$EU$28,130,FALSE)</f>
        <v>Yes</v>
      </c>
      <c r="G129" s="4"/>
    </row>
    <row r="130" spans="2:7" ht="45" customHeight="1">
      <c r="B130" s="81">
        <v>21</v>
      </c>
      <c r="C130" s="3" t="s">
        <v>282</v>
      </c>
      <c r="D130" s="56" t="s">
        <v>162</v>
      </c>
      <c r="E130" s="55"/>
      <c r="F130" s="3"/>
      <c r="G130" s="4"/>
    </row>
    <row r="131" spans="2:7" ht="45" customHeight="1">
      <c r="B131" s="80">
        <v>21.1</v>
      </c>
      <c r="C131" s="3"/>
      <c r="D131" s="54" t="s">
        <v>163</v>
      </c>
      <c r="E131" s="55"/>
      <c r="F131" s="3" t="str">
        <f>VLOOKUP($D$7,'Source Data'!$A$2:$EU$28,132,FALSE)</f>
        <v>Yes</v>
      </c>
      <c r="G131" s="4"/>
    </row>
    <row r="132" spans="2:7" ht="45" customHeight="1">
      <c r="B132" s="80">
        <v>21.2</v>
      </c>
      <c r="C132" s="3" t="s">
        <v>283</v>
      </c>
      <c r="D132" s="54" t="s">
        <v>145</v>
      </c>
      <c r="E132" s="55" t="s">
        <v>245</v>
      </c>
      <c r="F132" s="3">
        <f>VLOOKUP($D$7,'Source Data'!$A$2:$EU$28,133,FALSE)</f>
        <v>14</v>
      </c>
      <c r="G132" s="4"/>
    </row>
    <row r="133" spans="2:7" ht="45" customHeight="1">
      <c r="B133" s="80">
        <v>21.3</v>
      </c>
      <c r="C133" s="3" t="s">
        <v>283</v>
      </c>
      <c r="D133" s="54" t="s">
        <v>164</v>
      </c>
      <c r="E133" s="55" t="s">
        <v>245</v>
      </c>
      <c r="F133" s="3" t="str">
        <f>VLOOKUP($D$7,'Source Data'!$A$2:$EU$28,134,FALSE)</f>
        <v>≥ 200</v>
      </c>
      <c r="G133" s="4"/>
    </row>
    <row r="134" spans="2:7" ht="45" customHeight="1">
      <c r="B134" s="80">
        <v>21.4</v>
      </c>
      <c r="C134" s="3" t="s">
        <v>283</v>
      </c>
      <c r="D134" s="54" t="s">
        <v>165</v>
      </c>
      <c r="E134" s="55" t="s">
        <v>245</v>
      </c>
      <c r="F134" s="3" t="str">
        <f>VLOOKUP($D$7,'Source Data'!$A$2:$EU$28,135,FALSE)</f>
        <v>≥ 190</v>
      </c>
      <c r="G134" s="4"/>
    </row>
    <row r="135" spans="2:7" ht="45" customHeight="1">
      <c r="B135" s="80">
        <v>21.5</v>
      </c>
      <c r="C135" s="3" t="s">
        <v>283</v>
      </c>
      <c r="D135" s="54" t="s">
        <v>166</v>
      </c>
      <c r="E135" s="55" t="s">
        <v>245</v>
      </c>
      <c r="F135" s="3" t="str">
        <f>VLOOKUP($D$7,'Source Data'!$A$2:$EU$28,136,FALSE)</f>
        <v>≥ 150</v>
      </c>
      <c r="G135" s="4"/>
    </row>
    <row r="136" spans="2:7" ht="45" customHeight="1">
      <c r="B136" s="81">
        <v>22</v>
      </c>
      <c r="C136" s="60">
        <v>3.4</v>
      </c>
      <c r="D136" s="61" t="s">
        <v>173</v>
      </c>
      <c r="E136" s="62"/>
      <c r="F136" s="60"/>
      <c r="G136" s="63"/>
    </row>
    <row r="137" spans="2:7" ht="45" customHeight="1">
      <c r="B137" s="80">
        <v>22.1</v>
      </c>
      <c r="C137" s="3"/>
      <c r="D137" s="64" t="s">
        <v>174</v>
      </c>
      <c r="E137" s="55"/>
      <c r="F137" s="3"/>
      <c r="G137" s="4"/>
    </row>
    <row r="138" spans="2:7" ht="45" customHeight="1">
      <c r="B138" s="80">
        <v>22.2</v>
      </c>
      <c r="C138" s="3"/>
      <c r="D138" s="64" t="s">
        <v>169</v>
      </c>
      <c r="E138" s="55"/>
      <c r="F138" s="3" t="str">
        <f>VLOOKUP($D$7,'Source Data'!$A$2:$EU$28,145,FALSE)</f>
        <v>xxxxxxxxxxx</v>
      </c>
      <c r="G138" s="4"/>
    </row>
    <row r="139" spans="2:7" ht="45" customHeight="1">
      <c r="B139" s="80">
        <v>22.3</v>
      </c>
      <c r="C139" s="3"/>
      <c r="D139" s="64" t="s">
        <v>170</v>
      </c>
      <c r="E139" s="55"/>
      <c r="F139" s="3" t="str">
        <f>VLOOKUP($D$7,'Source Data'!$A$2:$EU$28,146,FALSE)</f>
        <v>xxxxxxxxxxx</v>
      </c>
      <c r="G139" s="4"/>
    </row>
    <row r="140" spans="2:7" ht="45" customHeight="1">
      <c r="B140" s="80">
        <v>22.4</v>
      </c>
      <c r="C140" s="84"/>
      <c r="D140" s="64" t="s">
        <v>171</v>
      </c>
      <c r="E140" s="65"/>
      <c r="F140" s="3" t="str">
        <f>VLOOKUP($D$7,'Source Data'!$A$2:$EU$28,147,FALSE)</f>
        <v>xxxxxxxxxxx</v>
      </c>
      <c r="G140" s="66"/>
    </row>
    <row r="141" spans="2:7" ht="45" customHeight="1">
      <c r="B141" s="80">
        <v>22.5</v>
      </c>
      <c r="C141" s="84"/>
      <c r="D141" s="64" t="s">
        <v>172</v>
      </c>
      <c r="E141" s="65"/>
      <c r="F141" s="3" t="str">
        <f>VLOOKUP($D$7,'Source Data'!$A$2:$EU$28,148,FALSE)</f>
        <v>Azure Blue</v>
      </c>
      <c r="G141" s="66"/>
    </row>
    <row r="142" spans="2:7" ht="151.15">
      <c r="B142" s="85">
        <v>23</v>
      </c>
      <c r="C142" s="84">
        <v>4.2</v>
      </c>
      <c r="D142" s="61" t="s">
        <v>284</v>
      </c>
      <c r="E142" s="65"/>
      <c r="F142" s="3" t="str">
        <f>VLOOKUP($D$7,'Source Data'!$A$2:$EU$28,149,FALSE)</f>
        <v>Report Numbers</v>
      </c>
      <c r="G142" s="66"/>
    </row>
    <row r="143" spans="2:7" ht="241.9" thickBot="1">
      <c r="B143" s="86">
        <v>24</v>
      </c>
      <c r="C143" s="67">
        <v>4.3</v>
      </c>
      <c r="D143" s="68" t="s">
        <v>285</v>
      </c>
      <c r="E143" s="69"/>
      <c r="F143" s="67" t="str">
        <f>VLOOKUP($D$7,'Source Data'!$A$2:$EU$28,150,FALSE)</f>
        <v>Report Numbers</v>
      </c>
      <c r="G143" s="70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&amp;CSWER Isolation, 200kVA 11kV/ 19kV* (Coastal, Ester Oil Only)</oddHeader>
  </headerFooter>
  <rowBreaks count="4" manualBreakCount="4">
    <brk id="37" min="1" max="6" man="1"/>
    <brk id="68" min="1" max="6" man="1"/>
    <brk id="102" min="1" max="6" man="1"/>
    <brk id="123" min="1" max="6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76EA5-8A8C-431F-89EC-824F18427227}">
  <sheetPr>
    <pageSetUpPr fitToPage="1"/>
  </sheetPr>
  <dimension ref="B1:G143"/>
  <sheetViews>
    <sheetView topLeftCell="A73" zoomScale="85" zoomScaleNormal="85" zoomScaleSheetLayoutView="70" workbookViewId="0">
      <selection activeCell="D79" sqref="D79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28" bestFit="1" customWidth="1"/>
    <col min="6" max="6" width="22.85546875" customWidth="1"/>
    <col min="7" max="7" width="30.85546875" customWidth="1"/>
  </cols>
  <sheetData>
    <row r="1" spans="2:7" ht="15" thickBot="1"/>
    <row r="2" spans="2:7">
      <c r="B2" s="29"/>
      <c r="C2" s="30"/>
      <c r="D2" s="30"/>
      <c r="E2" s="31"/>
      <c r="F2" s="30"/>
      <c r="G2" s="32"/>
    </row>
    <row r="3" spans="2:7">
      <c r="B3" s="33"/>
      <c r="C3" s="34"/>
      <c r="D3" s="34"/>
      <c r="E3" s="35"/>
      <c r="F3" s="91" t="s">
        <v>226</v>
      </c>
      <c r="G3" s="92"/>
    </row>
    <row r="4" spans="2:7">
      <c r="B4" s="33"/>
      <c r="C4" s="34"/>
      <c r="D4" s="34"/>
      <c r="E4" s="35"/>
      <c r="F4" s="91" t="str">
        <f>'List of Items &amp; Enquiry number'!B14</f>
        <v>Enquiry Number: 123456XYZ</v>
      </c>
      <c r="G4" s="92"/>
    </row>
    <row r="5" spans="2:7">
      <c r="B5" s="33"/>
      <c r="C5" s="34"/>
      <c r="D5" s="34"/>
      <c r="E5" s="35"/>
      <c r="F5" s="34"/>
      <c r="G5" s="36"/>
    </row>
    <row r="6" spans="2:7" ht="28.9">
      <c r="B6" s="37"/>
      <c r="C6" s="38"/>
      <c r="D6" s="39" t="s">
        <v>227</v>
      </c>
      <c r="E6" s="40"/>
      <c r="F6" s="41"/>
      <c r="G6" s="42"/>
    </row>
    <row r="7" spans="2:7">
      <c r="B7" s="33"/>
      <c r="C7" s="34"/>
      <c r="D7" s="43" t="s">
        <v>40</v>
      </c>
      <c r="E7" s="35"/>
      <c r="F7" s="34"/>
      <c r="G7" s="36"/>
    </row>
    <row r="8" spans="2:7">
      <c r="B8" s="33"/>
      <c r="C8" s="34"/>
      <c r="D8" s="76" t="s">
        <v>228</v>
      </c>
      <c r="E8" s="34"/>
      <c r="F8" s="93" t="s">
        <v>229</v>
      </c>
      <c r="G8" s="94"/>
    </row>
    <row r="9" spans="2:7">
      <c r="B9" s="44" t="s">
        <v>230</v>
      </c>
      <c r="C9" s="1"/>
      <c r="D9" s="1"/>
      <c r="E9" s="1"/>
      <c r="F9" s="93"/>
      <c r="G9" s="94"/>
    </row>
    <row r="10" spans="2:7" ht="15" thickBot="1">
      <c r="B10" s="97" t="s">
        <v>231</v>
      </c>
      <c r="C10" s="98"/>
      <c r="D10" s="98"/>
      <c r="E10" s="45"/>
      <c r="F10" s="95"/>
      <c r="G10" s="96"/>
    </row>
    <row r="11" spans="2:7" ht="28.15" customHeight="1" thickBot="1">
      <c r="B11" s="49" t="s">
        <v>232</v>
      </c>
      <c r="C11" s="78" t="s">
        <v>233</v>
      </c>
      <c r="D11" s="47" t="s">
        <v>15</v>
      </c>
      <c r="E11" s="48"/>
      <c r="F11" s="49" t="s">
        <v>234</v>
      </c>
      <c r="G11" s="46" t="s">
        <v>235</v>
      </c>
    </row>
    <row r="12" spans="2:7" ht="21" customHeight="1">
      <c r="B12" s="79">
        <v>1</v>
      </c>
      <c r="C12" s="50"/>
      <c r="D12" s="51" t="s">
        <v>54</v>
      </c>
      <c r="E12" s="52"/>
      <c r="F12" s="50"/>
      <c r="G12" s="53"/>
    </row>
    <row r="13" spans="2:7" ht="45" customHeight="1">
      <c r="B13" s="80">
        <v>1.1000000000000001</v>
      </c>
      <c r="C13" s="3"/>
      <c r="D13" s="54" t="s">
        <v>55</v>
      </c>
      <c r="E13" s="55"/>
      <c r="F13" s="3" t="str">
        <f>VLOOKUP($D$7,'Source Data'!$A$2:$EU$28,3,FALSE)</f>
        <v>xxxxxxxxxxx</v>
      </c>
      <c r="G13" s="4"/>
    </row>
    <row r="14" spans="2:7" ht="45" customHeight="1">
      <c r="B14" s="80">
        <v>1.2000000000000002</v>
      </c>
      <c r="C14" s="3"/>
      <c r="D14" s="54" t="s">
        <v>56</v>
      </c>
      <c r="E14" s="55"/>
      <c r="F14" s="3" t="str">
        <f>VLOOKUP($D$7,'Source Data'!$A$2:$EU$28,4,FALSE)</f>
        <v>xxxxxxxxxxx</v>
      </c>
      <c r="G14" s="4"/>
    </row>
    <row r="15" spans="2:7" ht="45" customHeight="1">
      <c r="B15" s="80">
        <v>1.3</v>
      </c>
      <c r="C15" s="3"/>
      <c r="D15" s="54" t="s">
        <v>58</v>
      </c>
      <c r="E15" s="55"/>
      <c r="F15" s="3" t="str">
        <f>VLOOKUP($D$7,'Source Data'!$A$2:$EU$28,6,FALSE)</f>
        <v>xxxxxxxxxxx</v>
      </c>
      <c r="G15" s="4"/>
    </row>
    <row r="16" spans="2:7" ht="45" customHeight="1">
      <c r="B16" s="80">
        <v>1.4</v>
      </c>
      <c r="C16" s="3"/>
      <c r="D16" s="54" t="s">
        <v>236</v>
      </c>
      <c r="E16" s="55"/>
      <c r="F16" s="3" t="str">
        <f>VLOOKUP($D$7,'Source Data'!$A$2:$EU$28,7,FALSE)</f>
        <v>xxxxxxxxxxx</v>
      </c>
      <c r="G16" s="4"/>
    </row>
    <row r="17" spans="2:7" ht="45" customHeight="1">
      <c r="B17" s="80">
        <v>1.5</v>
      </c>
      <c r="C17" s="3"/>
      <c r="D17" s="54" t="s">
        <v>237</v>
      </c>
      <c r="E17" s="55"/>
      <c r="F17" s="3" t="str">
        <f>VLOOKUP($D$7,'Source Data'!$A$2:$EU$28,8,FALSE)</f>
        <v>xxxxxxxxxxx</v>
      </c>
      <c r="G17" s="4"/>
    </row>
    <row r="18" spans="2:7" ht="45" customHeight="1">
      <c r="B18" s="80">
        <v>1.6</v>
      </c>
      <c r="C18" s="3"/>
      <c r="D18" s="54" t="s">
        <v>61</v>
      </c>
      <c r="E18" s="55"/>
      <c r="F18" s="3" t="str">
        <f>VLOOKUP($D$7,'Source Data'!$A$2:$EU$28,9,FALSE)</f>
        <v>Ester Oil</v>
      </c>
      <c r="G18" s="4"/>
    </row>
    <row r="19" spans="2:7" ht="24.6" customHeight="1">
      <c r="B19" s="81">
        <v>2</v>
      </c>
      <c r="C19" s="3" t="s">
        <v>238</v>
      </c>
      <c r="D19" s="56" t="s">
        <v>62</v>
      </c>
      <c r="E19" s="55"/>
      <c r="F19" s="3"/>
      <c r="G19" s="4"/>
    </row>
    <row r="20" spans="2:7" ht="45" customHeight="1">
      <c r="B20" s="80">
        <v>2.1</v>
      </c>
      <c r="C20" s="3"/>
      <c r="D20" s="54" t="s">
        <v>63</v>
      </c>
      <c r="E20" s="55" t="s">
        <v>239</v>
      </c>
      <c r="F20" s="3">
        <f>VLOOKUP($D$7,'Source Data'!$A$2:$EU$28,11,FALSE)</f>
        <v>200</v>
      </c>
      <c r="G20" s="4"/>
    </row>
    <row r="21" spans="2:7" ht="45" customHeight="1">
      <c r="B21" s="80">
        <v>2.2000000000000002</v>
      </c>
      <c r="C21" s="3"/>
      <c r="D21" s="54" t="s">
        <v>64</v>
      </c>
      <c r="E21" s="55" t="s">
        <v>240</v>
      </c>
      <c r="F21" s="3">
        <f>VLOOKUP($D$7,'Source Data'!$A$2:$EU$28,12,FALSE)</f>
        <v>22</v>
      </c>
      <c r="G21" s="4"/>
    </row>
    <row r="22" spans="2:7" ht="45" customHeight="1">
      <c r="B22" s="80">
        <v>2.3000000000000003</v>
      </c>
      <c r="C22" s="3"/>
      <c r="D22" s="54" t="s">
        <v>241</v>
      </c>
      <c r="E22" s="55" t="s">
        <v>240</v>
      </c>
      <c r="F22" s="3">
        <f>VLOOKUP($D$7,'Source Data'!$A$2:$EU$28,13,FALSE)</f>
        <v>19</v>
      </c>
      <c r="G22" s="4"/>
    </row>
    <row r="23" spans="2:7" ht="45" customHeight="1">
      <c r="B23" s="80">
        <v>2.4000000000000004</v>
      </c>
      <c r="C23" s="3"/>
      <c r="D23" s="54" t="s">
        <v>66</v>
      </c>
      <c r="E23" s="55" t="s">
        <v>242</v>
      </c>
      <c r="F23" s="3">
        <f>VLOOKUP($D$7,'Source Data'!$A$2:$EU$28,14,FALSE)</f>
        <v>50</v>
      </c>
      <c r="G23" s="4"/>
    </row>
    <row r="24" spans="2:7" ht="45" customHeight="1">
      <c r="B24" s="80">
        <v>2.5</v>
      </c>
      <c r="C24" s="3"/>
      <c r="D24" s="54" t="s">
        <v>67</v>
      </c>
      <c r="E24" s="55"/>
      <c r="F24" s="3" t="str">
        <f>VLOOKUP($D$7,'Source Data'!$A$2:$EU$28,15,FALSE)</f>
        <v>1ph</v>
      </c>
      <c r="G24" s="4"/>
    </row>
    <row r="25" spans="2:7" ht="45" customHeight="1">
      <c r="B25" s="80">
        <v>2.6</v>
      </c>
      <c r="C25" s="3"/>
      <c r="D25" s="54" t="s">
        <v>68</v>
      </c>
      <c r="E25" s="55"/>
      <c r="F25" s="3" t="str">
        <f>VLOOKUP($D$7,'Source Data'!$A$2:$EU$28,16,FALSE)</f>
        <v>N/A</v>
      </c>
      <c r="G25" s="4" t="s">
        <v>178</v>
      </c>
    </row>
    <row r="26" spans="2:7" ht="24.6" customHeight="1">
      <c r="B26" s="81">
        <v>3</v>
      </c>
      <c r="C26" s="3" t="s">
        <v>243</v>
      </c>
      <c r="D26" s="56" t="s">
        <v>69</v>
      </c>
      <c r="E26" s="55"/>
      <c r="F26" s="3"/>
      <c r="G26" s="4"/>
    </row>
    <row r="27" spans="2:7" ht="45" customHeight="1">
      <c r="B27" s="80">
        <v>3.1</v>
      </c>
      <c r="C27" s="3"/>
      <c r="D27" s="54" t="s">
        <v>70</v>
      </c>
      <c r="E27" s="55" t="s">
        <v>240</v>
      </c>
      <c r="F27" s="3">
        <f>VLOOKUP($D$7,'Source Data'!$A$2:$EU$28,18,FALSE)</f>
        <v>150</v>
      </c>
      <c r="G27" s="4"/>
    </row>
    <row r="28" spans="2:7" ht="45" customHeight="1">
      <c r="B28" s="80">
        <v>3.2</v>
      </c>
      <c r="C28" s="3"/>
      <c r="D28" s="54" t="s">
        <v>71</v>
      </c>
      <c r="E28" s="55" t="s">
        <v>240</v>
      </c>
      <c r="F28" s="3">
        <f>VLOOKUP($D$7,'Source Data'!$A$2:$EU$28,19,FALSE)</f>
        <v>200</v>
      </c>
      <c r="G28" s="4"/>
    </row>
    <row r="29" spans="2:7" ht="45" customHeight="1">
      <c r="B29" s="80">
        <v>3.3</v>
      </c>
      <c r="C29" s="3"/>
      <c r="D29" s="54" t="s">
        <v>72</v>
      </c>
      <c r="E29" s="55" t="s">
        <v>240</v>
      </c>
      <c r="F29" s="3">
        <f>VLOOKUP($D$7,'Source Data'!$A$2:$EU$28,20,FALSE)</f>
        <v>30</v>
      </c>
      <c r="G29" s="4"/>
    </row>
    <row r="30" spans="2:7" ht="45" customHeight="1">
      <c r="B30" s="80">
        <v>3.4</v>
      </c>
      <c r="C30" s="3"/>
      <c r="D30" s="54" t="s">
        <v>73</v>
      </c>
      <c r="E30" s="55" t="s">
        <v>240</v>
      </c>
      <c r="F30" s="3">
        <f>VLOOKUP($D$7,'Source Data'!$A$2:$EU$28,21,FALSE)</f>
        <v>50</v>
      </c>
      <c r="G30" s="4"/>
    </row>
    <row r="31" spans="2:7" ht="45" customHeight="1">
      <c r="B31" s="80">
        <v>3.5</v>
      </c>
      <c r="C31" s="3"/>
      <c r="D31" s="54" t="s">
        <v>74</v>
      </c>
      <c r="E31" s="55" t="s">
        <v>240</v>
      </c>
      <c r="F31" s="3">
        <f>VLOOKUP($D$7,'Source Data'!$A$2:$EU$28,22,FALSE)</f>
        <v>8</v>
      </c>
      <c r="G31" s="4"/>
    </row>
    <row r="32" spans="2:7" ht="33" customHeight="1">
      <c r="B32" s="81">
        <v>4</v>
      </c>
      <c r="C32" s="3" t="s">
        <v>244</v>
      </c>
      <c r="D32" s="56" t="s">
        <v>75</v>
      </c>
      <c r="E32" s="55"/>
      <c r="F32" s="3"/>
      <c r="G32" s="4"/>
    </row>
    <row r="33" spans="2:7" ht="45" customHeight="1">
      <c r="B33" s="80">
        <v>4.0999999999999996</v>
      </c>
      <c r="C33" s="3"/>
      <c r="D33" s="54" t="s">
        <v>76</v>
      </c>
      <c r="E33" s="55"/>
      <c r="F33" s="3" t="str">
        <f>VLOOKUP($D$7,'Source Data'!$A$2:$EU$28,24,FALSE)</f>
        <v>xxxxxxxxxxx</v>
      </c>
      <c r="G33" s="4"/>
    </row>
    <row r="34" spans="2:7" ht="45" customHeight="1">
      <c r="B34" s="80">
        <v>4.1999999999999993</v>
      </c>
      <c r="C34" s="3"/>
      <c r="D34" s="54" t="s">
        <v>77</v>
      </c>
      <c r="E34" s="55"/>
      <c r="F34" s="3" t="str">
        <f>VLOOKUP($D$7,'Source Data'!$A$2:$EU$28,25,FALSE)</f>
        <v>Grade 3</v>
      </c>
      <c r="G34" s="4"/>
    </row>
    <row r="35" spans="2:7" ht="45" customHeight="1">
      <c r="B35" s="80">
        <v>4.3</v>
      </c>
      <c r="C35" s="3"/>
      <c r="D35" s="54" t="s">
        <v>78</v>
      </c>
      <c r="E35" s="55" t="s">
        <v>245</v>
      </c>
      <c r="F35" s="3" t="str">
        <f>VLOOKUP($D$7,'Source Data'!$A$2:$EU$28,26,FALSE)</f>
        <v>&gt; 0.125</v>
      </c>
      <c r="G35" s="4"/>
    </row>
    <row r="36" spans="2:7" ht="45" customHeight="1">
      <c r="B36" s="80">
        <v>4.3999999999999995</v>
      </c>
      <c r="C36" s="3"/>
      <c r="D36" s="54" t="s">
        <v>79</v>
      </c>
      <c r="E36" s="55"/>
      <c r="F36" s="3" t="str">
        <f>VLOOKUP($D$7,'Source Data'!$A$2:$EU$28,27,FALSE)</f>
        <v>xxxxxxxxxxx</v>
      </c>
      <c r="G36" s="4"/>
    </row>
    <row r="37" spans="2:7" ht="45" customHeight="1">
      <c r="B37" s="80">
        <v>4.5</v>
      </c>
      <c r="C37" s="3"/>
      <c r="D37" s="54" t="s">
        <v>80</v>
      </c>
      <c r="E37" s="55"/>
      <c r="F37" s="3" t="str">
        <f>VLOOKUP($D$7,'Source Data'!$A$2:$EU$28,28,FALSE)</f>
        <v>xxxxxxxxxxx</v>
      </c>
      <c r="G37" s="4"/>
    </row>
    <row r="38" spans="2:7" ht="45" customHeight="1">
      <c r="B38" s="80">
        <v>4.5999999999999996</v>
      </c>
      <c r="C38" s="3"/>
      <c r="D38" s="54" t="s">
        <v>81</v>
      </c>
      <c r="E38" s="55" t="s">
        <v>240</v>
      </c>
      <c r="F38" s="3">
        <f>VLOOKUP($D$7,'Source Data'!$A$2:$EU$28,29,FALSE)</f>
        <v>21</v>
      </c>
      <c r="G38" s="4"/>
    </row>
    <row r="39" spans="2:7" ht="45" customHeight="1">
      <c r="B39" s="80">
        <v>4.7</v>
      </c>
      <c r="C39" s="3"/>
      <c r="D39" s="54" t="s">
        <v>82</v>
      </c>
      <c r="E39" s="55" t="s">
        <v>240</v>
      </c>
      <c r="F39" s="3">
        <f>VLOOKUP($D$7,'Source Data'!$A$2:$EU$28,30,FALSE)</f>
        <v>8</v>
      </c>
      <c r="G39" s="4"/>
    </row>
    <row r="40" spans="2:7" ht="45" customHeight="1">
      <c r="B40" s="80">
        <v>4.8</v>
      </c>
      <c r="C40" s="3"/>
      <c r="D40" s="54" t="s">
        <v>246</v>
      </c>
      <c r="E40" s="55" t="s">
        <v>247</v>
      </c>
      <c r="F40" s="3" t="str">
        <f>VLOOKUP($D$7,'Source Data'!$A$2:$EU$28,31,FALSE)</f>
        <v>&lt;5</v>
      </c>
      <c r="G40" s="4"/>
    </row>
    <row r="41" spans="2:7" ht="45" customHeight="1">
      <c r="B41" s="81">
        <v>5</v>
      </c>
      <c r="C41" s="3" t="s">
        <v>248</v>
      </c>
      <c r="D41" s="56" t="s">
        <v>84</v>
      </c>
      <c r="E41" s="55"/>
      <c r="F41" s="3"/>
      <c r="G41" s="4"/>
    </row>
    <row r="42" spans="2:7" ht="45" customHeight="1">
      <c r="B42" s="80">
        <v>5.0999999999999996</v>
      </c>
      <c r="C42" s="3"/>
      <c r="D42" s="54" t="s">
        <v>85</v>
      </c>
      <c r="E42" s="55" t="s">
        <v>247</v>
      </c>
      <c r="F42" s="3" t="str">
        <f>VLOOKUP($D$7,'Source Data'!$A$2:$EU$28,33,FALSE)</f>
        <v>&lt; 5</v>
      </c>
      <c r="G42" s="4"/>
    </row>
    <row r="43" spans="2:7" ht="45" customHeight="1">
      <c r="B43" s="80">
        <v>5.1999999999999993</v>
      </c>
      <c r="C43" s="3"/>
      <c r="D43" s="54" t="s">
        <v>86</v>
      </c>
      <c r="E43" s="55" t="s">
        <v>247</v>
      </c>
      <c r="F43" s="3" t="str">
        <f>VLOOKUP($D$7,'Source Data'!$A$2:$EU$28,34,FALSE)</f>
        <v xml:space="preserve">&lt; 5 </v>
      </c>
      <c r="G43" s="4"/>
    </row>
    <row r="44" spans="2:7" ht="45" customHeight="1">
      <c r="B44" s="80">
        <v>5.3</v>
      </c>
      <c r="C44" s="3"/>
      <c r="D44" s="54" t="s">
        <v>87</v>
      </c>
      <c r="E44" s="55"/>
      <c r="F44" s="3" t="str">
        <f>VLOOKUP($D$7,'Source Data'!$A$2:$EU$28,35,FALSE)</f>
        <v>xxxxxxxxxxx</v>
      </c>
      <c r="G44" s="4"/>
    </row>
    <row r="45" spans="2:7" ht="45" customHeight="1">
      <c r="B45" s="80">
        <v>5.3999999999999995</v>
      </c>
      <c r="C45" s="3"/>
      <c r="D45" s="54" t="s">
        <v>88</v>
      </c>
      <c r="E45" s="55"/>
      <c r="F45" s="3" t="str">
        <f>VLOOKUP($D$7,'Source Data'!$A$2:$EU$28,36,FALSE)</f>
        <v>xxxxxxxxxxx</v>
      </c>
      <c r="G45" s="4"/>
    </row>
    <row r="46" spans="2:7" ht="27" customHeight="1">
      <c r="B46" s="81">
        <v>6</v>
      </c>
      <c r="C46" s="3" t="s">
        <v>249</v>
      </c>
      <c r="D46" s="56" t="s">
        <v>89</v>
      </c>
      <c r="E46" s="55"/>
      <c r="F46" s="3"/>
      <c r="G46" s="4"/>
    </row>
    <row r="47" spans="2:7" ht="45" customHeight="1">
      <c r="B47" s="80">
        <v>6.1</v>
      </c>
      <c r="C47" s="3"/>
      <c r="D47" s="54" t="s">
        <v>90</v>
      </c>
      <c r="E47" s="55"/>
      <c r="F47" s="3" t="str">
        <f>VLOOKUP($D$7,'Source Data'!$A$2:$EU$28,38,FALSE)</f>
        <v>xxxxxxxxxxx</v>
      </c>
      <c r="G47" s="4" t="s">
        <v>178</v>
      </c>
    </row>
    <row r="48" spans="2:7" ht="31.15" customHeight="1">
      <c r="B48" s="81">
        <v>7</v>
      </c>
      <c r="C48" s="3" t="s">
        <v>250</v>
      </c>
      <c r="D48" s="56" t="s">
        <v>100</v>
      </c>
      <c r="E48" s="55"/>
      <c r="F48" s="3"/>
      <c r="G48" s="4"/>
    </row>
    <row r="49" spans="2:7" ht="45" customHeight="1">
      <c r="B49" s="80">
        <v>7.1</v>
      </c>
      <c r="C49" s="3"/>
      <c r="D49" s="54" t="s">
        <v>93</v>
      </c>
      <c r="E49" s="55"/>
      <c r="F49" s="3" t="str">
        <f>VLOOKUP($D$7,'Source Data'!$A$2:$EU$28,49,FALSE)</f>
        <v>xxxxxxxxxxx</v>
      </c>
      <c r="G49" s="4"/>
    </row>
    <row r="50" spans="2:7" ht="45" customHeight="1">
      <c r="B50" s="80">
        <v>7.2</v>
      </c>
      <c r="C50" s="3"/>
      <c r="D50" s="54" t="s">
        <v>94</v>
      </c>
      <c r="E50" s="55"/>
      <c r="F50" s="3" t="str">
        <f>VLOOKUP($D$7,'Source Data'!$A$2:$EU$28,50,FALSE)</f>
        <v>xxxxxxxxxxx</v>
      </c>
      <c r="G50" s="4"/>
    </row>
    <row r="51" spans="2:7" ht="45" customHeight="1">
      <c r="B51" s="80">
        <v>7.3</v>
      </c>
      <c r="C51" s="3"/>
      <c r="D51" s="54" t="s">
        <v>95</v>
      </c>
      <c r="E51" s="55"/>
      <c r="F51" s="3" t="str">
        <f>VLOOKUP($D$7,'Source Data'!$A$2:$EU$28,51,FALSE)</f>
        <v>xxxxxxxxxxx</v>
      </c>
      <c r="G51" s="4"/>
    </row>
    <row r="52" spans="2:7" ht="45" customHeight="1">
      <c r="B52" s="80">
        <v>7.4</v>
      </c>
      <c r="C52" s="3"/>
      <c r="D52" s="54" t="s">
        <v>96</v>
      </c>
      <c r="E52" s="55" t="s">
        <v>251</v>
      </c>
      <c r="F52" s="3" t="str">
        <f>VLOOKUP($D$7,'Source Data'!$A$2:$EU$28,52,FALSE)</f>
        <v>≥ 31</v>
      </c>
      <c r="G52" s="4"/>
    </row>
    <row r="53" spans="2:7" ht="45" customHeight="1">
      <c r="B53" s="80">
        <v>7.5</v>
      </c>
      <c r="C53" s="3"/>
      <c r="D53" s="54" t="s">
        <v>97</v>
      </c>
      <c r="E53" s="55"/>
      <c r="F53" s="3" t="str">
        <f>VLOOKUP($D$7,'Source Data'!$A$2:$EU$28,53,FALSE)</f>
        <v>Base</v>
      </c>
      <c r="G53" s="4"/>
    </row>
    <row r="54" spans="2:7" ht="45" customHeight="1">
      <c r="B54" s="80">
        <v>7.6</v>
      </c>
      <c r="C54" s="3"/>
      <c r="D54" s="54" t="s">
        <v>98</v>
      </c>
      <c r="E54" s="55"/>
      <c r="F54" s="3" t="str">
        <f>VLOOKUP($D$7,'Source Data'!$A$2:$EU$28,54,FALSE)</f>
        <v>Draw lead</v>
      </c>
      <c r="G54" s="4"/>
    </row>
    <row r="55" spans="2:7" ht="45" customHeight="1">
      <c r="B55" s="80">
        <v>7.7</v>
      </c>
      <c r="C55" s="3"/>
      <c r="D55" s="54" t="s">
        <v>99</v>
      </c>
      <c r="E55" s="55"/>
      <c r="F55" s="3" t="str">
        <f>VLOOKUP($D$7,'Source Data'!$A$2:$EU$28,55,FALSE)</f>
        <v>M12</v>
      </c>
      <c r="G55" s="4"/>
    </row>
    <row r="56" spans="2:7" ht="45" customHeight="1">
      <c r="B56" s="80">
        <v>7.8</v>
      </c>
      <c r="C56" s="3" t="s">
        <v>250</v>
      </c>
      <c r="D56" s="56" t="s">
        <v>101</v>
      </c>
      <c r="E56" s="55"/>
      <c r="F56" s="3"/>
      <c r="G56" s="4"/>
    </row>
    <row r="57" spans="2:7" ht="45" customHeight="1">
      <c r="B57" s="80">
        <v>7.9</v>
      </c>
      <c r="C57" s="3"/>
      <c r="D57" s="2" t="s">
        <v>93</v>
      </c>
      <c r="E57" s="55"/>
      <c r="F57" s="3" t="str">
        <f>VLOOKUP($D$7,'Source Data'!$A$2:$EU$28,57,FALSE)</f>
        <v>xxxxxxxxxxx</v>
      </c>
      <c r="G57" s="4"/>
    </row>
    <row r="58" spans="2:7" ht="45" customHeight="1">
      <c r="B58" s="82" t="s">
        <v>252</v>
      </c>
      <c r="C58" s="3"/>
      <c r="D58" s="2" t="s">
        <v>94</v>
      </c>
      <c r="E58" s="55"/>
      <c r="F58" s="3" t="str">
        <f>VLOOKUP($D$7,'Source Data'!$A$2:$EU$28,58,FALSE)</f>
        <v>xxxxxxxxxxx</v>
      </c>
      <c r="G58" s="4"/>
    </row>
    <row r="59" spans="2:7" ht="45" customHeight="1">
      <c r="B59" s="82" t="s">
        <v>253</v>
      </c>
      <c r="C59" s="3"/>
      <c r="D59" s="2" t="s">
        <v>95</v>
      </c>
      <c r="E59" s="55"/>
      <c r="F59" s="3" t="str">
        <f>VLOOKUP($D$7,'Source Data'!$A$2:$EU$28,59,FALSE)</f>
        <v>xxxxxxxxxxx</v>
      </c>
      <c r="G59" s="4"/>
    </row>
    <row r="60" spans="2:7" ht="45" customHeight="1">
      <c r="B60" s="82" t="s">
        <v>254</v>
      </c>
      <c r="C60" s="3"/>
      <c r="D60" s="2" t="s">
        <v>96</v>
      </c>
      <c r="E60" s="55"/>
      <c r="F60" s="3" t="str">
        <f>VLOOKUP($D$7,'Source Data'!$A$2:$EU$28,60,FALSE)</f>
        <v>≥ 31</v>
      </c>
      <c r="G60" s="4"/>
    </row>
    <row r="61" spans="2:7" ht="45" customHeight="1">
      <c r="B61" s="82" t="s">
        <v>255</v>
      </c>
      <c r="C61" s="3"/>
      <c r="D61" s="2" t="s">
        <v>97</v>
      </c>
      <c r="E61" s="55"/>
      <c r="F61" s="3" t="str">
        <f>VLOOKUP($D$7,'Source Data'!$A$2:$EU$28,61,FALSE)</f>
        <v>Base</v>
      </c>
      <c r="G61" s="4"/>
    </row>
    <row r="62" spans="2:7" ht="45" customHeight="1">
      <c r="B62" s="82" t="s">
        <v>256</v>
      </c>
      <c r="C62" s="3"/>
      <c r="D62" s="2" t="s">
        <v>98</v>
      </c>
      <c r="E62" s="55"/>
      <c r="F62" s="3" t="str">
        <f>VLOOKUP($D$7,'Source Data'!$A$2:$EU$28,62,FALSE)</f>
        <v>Draw lead</v>
      </c>
      <c r="G62" s="4"/>
    </row>
    <row r="63" spans="2:7" ht="45" customHeight="1">
      <c r="B63" s="82" t="s">
        <v>257</v>
      </c>
      <c r="C63" s="3"/>
      <c r="D63" s="2" t="s">
        <v>99</v>
      </c>
      <c r="E63" s="55"/>
      <c r="F63" s="3" t="str">
        <f>VLOOKUP($D$7,'Source Data'!$A$2:$EU$28,63,FALSE)</f>
        <v>M12</v>
      </c>
      <c r="G63" s="4"/>
    </row>
    <row r="64" spans="2:7" ht="15.6">
      <c r="B64" s="81">
        <v>8</v>
      </c>
      <c r="C64" s="3" t="s">
        <v>250</v>
      </c>
      <c r="D64" s="56" t="s">
        <v>102</v>
      </c>
      <c r="E64" s="55"/>
      <c r="F64" s="3"/>
      <c r="G64" s="4"/>
    </row>
    <row r="65" spans="2:7" ht="45" customHeight="1">
      <c r="B65" s="80">
        <v>8.1</v>
      </c>
      <c r="C65" s="3"/>
      <c r="D65" s="54" t="s">
        <v>93</v>
      </c>
      <c r="E65" s="55"/>
      <c r="F65" s="3" t="str">
        <f>VLOOKUP($D$7,'Source Data'!$A$2:$EU$28,65,FALSE)</f>
        <v>xxxxxxxxxxx</v>
      </c>
      <c r="G65" s="4"/>
    </row>
    <row r="66" spans="2:7" ht="45" customHeight="1">
      <c r="B66" s="80">
        <v>8.1999999999999993</v>
      </c>
      <c r="C66" s="3"/>
      <c r="D66" s="54" t="s">
        <v>94</v>
      </c>
      <c r="E66" s="55"/>
      <c r="F66" s="3" t="str">
        <f>VLOOKUP($D$7,'Source Data'!$A$2:$EU$28,66,FALSE)</f>
        <v>xxxxxxxxxxx</v>
      </c>
      <c r="G66" s="4"/>
    </row>
    <row r="67" spans="2:7" ht="45" customHeight="1">
      <c r="B67" s="80">
        <v>8.3000000000000007</v>
      </c>
      <c r="C67" s="3"/>
      <c r="D67" s="54" t="s">
        <v>95</v>
      </c>
      <c r="E67" s="55"/>
      <c r="F67" s="3" t="str">
        <f>VLOOKUP($D$7,'Source Data'!$A$2:$EU$28,67,FALSE)</f>
        <v>xxxxxxxxxxx</v>
      </c>
      <c r="G67" s="4"/>
    </row>
    <row r="68" spans="2:7" ht="45" customHeight="1">
      <c r="B68" s="80">
        <v>8.4</v>
      </c>
      <c r="C68" s="3"/>
      <c r="D68" s="54" t="s">
        <v>99</v>
      </c>
      <c r="E68" s="55"/>
      <c r="F68" s="3" t="str">
        <f>VLOOKUP($D$7,'Source Data'!$A$2:$EU$28,68,FALSE)</f>
        <v>M12</v>
      </c>
      <c r="G68" s="4"/>
    </row>
    <row r="69" spans="2:7" ht="28.15" customHeight="1">
      <c r="B69" s="81">
        <v>9</v>
      </c>
      <c r="C69" s="3" t="s">
        <v>258</v>
      </c>
      <c r="D69" s="56" t="s">
        <v>105</v>
      </c>
      <c r="E69" s="55"/>
      <c r="F69" s="3"/>
      <c r="G69" s="4"/>
    </row>
    <row r="70" spans="2:7" ht="45" customHeight="1">
      <c r="B70" s="80">
        <v>9.1</v>
      </c>
      <c r="C70" s="3"/>
      <c r="D70" s="54" t="s">
        <v>106</v>
      </c>
      <c r="E70" s="55"/>
      <c r="F70" s="3" t="str">
        <f>VLOOKUP($D$7,'Source Data'!$A$2:$EU$28,72,FALSE)</f>
        <v>Distribution</v>
      </c>
      <c r="G70" s="4" t="s">
        <v>178</v>
      </c>
    </row>
    <row r="71" spans="2:7" ht="45" customHeight="1">
      <c r="B71" s="80">
        <v>9.1999999999999993</v>
      </c>
      <c r="C71" s="3"/>
      <c r="D71" s="54" t="s">
        <v>107</v>
      </c>
      <c r="E71" s="55" t="s">
        <v>259</v>
      </c>
      <c r="F71" s="3">
        <f>VLOOKUP($D$7,'Source Data'!$A$2:$EU$28,73,FALSE)</f>
        <v>80500</v>
      </c>
      <c r="G71" s="4" t="s">
        <v>178</v>
      </c>
    </row>
    <row r="72" spans="2:7" ht="45" customHeight="1">
      <c r="B72" s="80">
        <v>9.3000000000000007</v>
      </c>
      <c r="C72" s="3"/>
      <c r="D72" s="54" t="s">
        <v>108</v>
      </c>
      <c r="E72" s="55" t="s">
        <v>259</v>
      </c>
      <c r="F72" s="3">
        <f>VLOOKUP($D$7,'Source Data'!$A$2:$EU$28,74,FALSE)</f>
        <v>17500</v>
      </c>
      <c r="G72" s="4" t="s">
        <v>178</v>
      </c>
    </row>
    <row r="73" spans="2:7" ht="45" customHeight="1">
      <c r="B73" s="80">
        <v>9.4</v>
      </c>
      <c r="C73" s="3"/>
      <c r="D73" s="54" t="s">
        <v>260</v>
      </c>
      <c r="E73" s="55" t="s">
        <v>261</v>
      </c>
      <c r="F73" s="3">
        <f>VLOOKUP($D$7,'Source Data'!$A$2:$EU$28,75,FALSE)</f>
        <v>320</v>
      </c>
      <c r="G73" s="4"/>
    </row>
    <row r="74" spans="2:7" ht="45" customHeight="1">
      <c r="B74" s="80">
        <v>9.5</v>
      </c>
      <c r="C74" s="3"/>
      <c r="D74" s="54" t="s">
        <v>262</v>
      </c>
      <c r="E74" s="55" t="s">
        <v>261</v>
      </c>
      <c r="F74" s="3">
        <f>VLOOKUP($D$7,'Source Data'!$A$2:$EU$28,151,FALSE)</f>
        <v>120</v>
      </c>
      <c r="G74" s="4"/>
    </row>
    <row r="75" spans="2:7" ht="45" customHeight="1">
      <c r="B75" s="80">
        <v>9.6</v>
      </c>
      <c r="C75" s="3"/>
      <c r="D75" s="54" t="s">
        <v>263</v>
      </c>
      <c r="E75" s="55" t="s">
        <v>261</v>
      </c>
      <c r="F75" s="3">
        <f>VLOOKUP($D$7,'Source Data'!$A$2:$EU$28,76,FALSE)</f>
        <v>2600</v>
      </c>
      <c r="G75" s="4"/>
    </row>
    <row r="76" spans="2:7" ht="27" customHeight="1">
      <c r="B76" s="81">
        <v>10</v>
      </c>
      <c r="C76" s="3" t="s">
        <v>258</v>
      </c>
      <c r="D76" s="57" t="s">
        <v>111</v>
      </c>
      <c r="E76" s="55"/>
      <c r="F76" s="3"/>
      <c r="G76" s="4"/>
    </row>
    <row r="77" spans="2:7" ht="45" customHeight="1">
      <c r="B77" s="80">
        <v>10.1</v>
      </c>
      <c r="C77" s="3"/>
      <c r="D77" s="58" t="s">
        <v>112</v>
      </c>
      <c r="E77" s="55" t="s">
        <v>264</v>
      </c>
      <c r="F77" s="59" t="str">
        <f>VLOOKUP($D$7,'Source Data'!$A$2:$EU$28,78,FALSE)</f>
        <v>4,0 to 5,0</v>
      </c>
      <c r="G77" s="4"/>
    </row>
    <row r="78" spans="2:7" ht="45" customHeight="1">
      <c r="B78" s="80">
        <v>10.199999999999999</v>
      </c>
      <c r="C78" s="3"/>
      <c r="D78" s="58" t="s">
        <v>113</v>
      </c>
      <c r="E78" s="55"/>
      <c r="F78" s="59" t="str">
        <f>VLOOKUP($D$7,'Source Data'!$A$2:$EU$28,79,FALSE)</f>
        <v>xxxxxxxxxx</v>
      </c>
      <c r="G78" s="4"/>
    </row>
    <row r="79" spans="2:7" ht="27" customHeight="1">
      <c r="B79" s="81">
        <v>11</v>
      </c>
      <c r="C79" s="3"/>
      <c r="D79" s="117" t="s">
        <v>299</v>
      </c>
      <c r="E79" s="55"/>
      <c r="F79" s="3"/>
      <c r="G79" s="4"/>
    </row>
    <row r="80" spans="2:7" ht="45" customHeight="1">
      <c r="B80" s="80">
        <v>11.1</v>
      </c>
      <c r="C80" s="3"/>
      <c r="D80" s="54" t="s">
        <v>115</v>
      </c>
      <c r="E80" s="55" t="s">
        <v>266</v>
      </c>
      <c r="F80" s="59" t="str">
        <f>VLOOKUP($D$7,'Source Data'!$A$2:$EU$28,81,FALSE)</f>
        <v xml:space="preserve">≤ 48 </v>
      </c>
      <c r="G80" s="4"/>
    </row>
    <row r="81" spans="2:7" ht="22.15" customHeight="1">
      <c r="B81" s="81">
        <v>12</v>
      </c>
      <c r="C81" s="3"/>
      <c r="D81" s="56" t="s">
        <v>267</v>
      </c>
      <c r="E81" s="55"/>
      <c r="F81" s="3"/>
      <c r="G81" s="4"/>
    </row>
    <row r="82" spans="2:7" ht="45" customHeight="1">
      <c r="B82" s="80">
        <v>12.1</v>
      </c>
      <c r="C82" s="3"/>
      <c r="D82" s="54" t="s">
        <v>117</v>
      </c>
      <c r="E82" s="55"/>
      <c r="F82" s="59" t="str">
        <f>VLOOKUP($D$7,'Source Data'!$A$2:$EU$28,83,FALSE)</f>
        <v>xxxxxxxxxxx</v>
      </c>
      <c r="G82" s="4"/>
    </row>
    <row r="83" spans="2:7" ht="45" customHeight="1">
      <c r="B83" s="80">
        <v>12.2</v>
      </c>
      <c r="C83" s="3"/>
      <c r="D83" s="54" t="s">
        <v>118</v>
      </c>
      <c r="E83" s="55"/>
      <c r="F83" s="59" t="str">
        <f>VLOOKUP($D$7,'Source Data'!$A$2:$EU$28,84,FALSE)</f>
        <v>xxxxxxxxxxx</v>
      </c>
      <c r="G83" s="4"/>
    </row>
    <row r="84" spans="2:7" ht="21.6" customHeight="1">
      <c r="B84" s="81">
        <v>13</v>
      </c>
      <c r="C84" s="3"/>
      <c r="D84" s="56" t="s">
        <v>119</v>
      </c>
      <c r="E84" s="55"/>
      <c r="F84" s="3"/>
      <c r="G84" s="4"/>
    </row>
    <row r="85" spans="2:7" ht="45" customHeight="1">
      <c r="B85" s="80">
        <v>13.1</v>
      </c>
      <c r="C85" s="3"/>
      <c r="D85" s="54" t="s">
        <v>117</v>
      </c>
      <c r="E85" s="55"/>
      <c r="F85" s="59" t="str">
        <f>VLOOKUP($D$7,'Source Data'!$A$2:$EU$28,86,FALSE)</f>
        <v>xxxxxxxxxxx</v>
      </c>
      <c r="G85" s="4"/>
    </row>
    <row r="86" spans="2:7" ht="45" customHeight="1">
      <c r="B86" s="80">
        <v>13.2</v>
      </c>
      <c r="C86" s="3"/>
      <c r="D86" s="54" t="s">
        <v>118</v>
      </c>
      <c r="E86" s="55"/>
      <c r="F86" s="59" t="str">
        <f>VLOOKUP($D$7,'Source Data'!$A$2:$EU$28,87,FALSE)</f>
        <v>xxxxxxxxxxx</v>
      </c>
      <c r="G86" s="4"/>
    </row>
    <row r="87" spans="2:7" ht="24.6" customHeight="1">
      <c r="B87" s="81">
        <v>14</v>
      </c>
      <c r="C87" s="3"/>
      <c r="D87" s="56" t="s">
        <v>120</v>
      </c>
      <c r="E87" s="55"/>
      <c r="F87" s="3"/>
      <c r="G87" s="4"/>
    </row>
    <row r="88" spans="2:7" ht="45" customHeight="1">
      <c r="B88" s="80">
        <v>14.1</v>
      </c>
      <c r="C88" s="3"/>
      <c r="D88" s="54" t="s">
        <v>121</v>
      </c>
      <c r="E88" s="55"/>
      <c r="F88" s="59" t="str">
        <f>VLOOKUP($D$7,'Source Data'!$A$2:$EU$28,89,FALSE)</f>
        <v>Steel or Amporphous</v>
      </c>
      <c r="G88" s="4"/>
    </row>
    <row r="89" spans="2:7" ht="45" customHeight="1">
      <c r="B89" s="80">
        <v>14.2</v>
      </c>
      <c r="C89" s="3"/>
      <c r="D89" s="54" t="s">
        <v>122</v>
      </c>
      <c r="E89" s="55"/>
      <c r="F89" s="59" t="str">
        <f>VLOOKUP($D$7,'Source Data'!$A$2:$EU$28,90,FALSE)</f>
        <v>xxxxxxxxxxx</v>
      </c>
      <c r="G89" s="4"/>
    </row>
    <row r="90" spans="2:7" ht="45" customHeight="1">
      <c r="B90" s="80">
        <v>14.3</v>
      </c>
      <c r="C90" s="3"/>
      <c r="D90" s="54" t="s">
        <v>123</v>
      </c>
      <c r="E90" s="55"/>
      <c r="F90" s="59" t="str">
        <f>VLOOKUP($D$7,'Source Data'!$A$2:$EU$28,91,FALSE)</f>
        <v>xxxxxxxxxxx</v>
      </c>
      <c r="G90" s="4"/>
    </row>
    <row r="91" spans="2:7" ht="45" customHeight="1">
      <c r="B91" s="80">
        <v>14.4</v>
      </c>
      <c r="C91" s="3"/>
      <c r="D91" s="54" t="s">
        <v>124</v>
      </c>
      <c r="E91" s="55"/>
      <c r="F91" s="59" t="str">
        <f>VLOOKUP($D$7,'Source Data'!$A$2:$EU$28,92,FALSE)</f>
        <v>xxxxxxxxxxx</v>
      </c>
      <c r="G91" s="4"/>
    </row>
    <row r="92" spans="2:7" ht="23.45" customHeight="1">
      <c r="B92" s="81">
        <v>15</v>
      </c>
      <c r="C92" s="3" t="s">
        <v>268</v>
      </c>
      <c r="D92" s="57" t="s">
        <v>125</v>
      </c>
      <c r="E92" s="55"/>
      <c r="F92" s="59"/>
      <c r="G92" s="4"/>
    </row>
    <row r="93" spans="2:7" ht="45" customHeight="1">
      <c r="B93" s="80">
        <v>15.1</v>
      </c>
      <c r="C93" s="3"/>
      <c r="D93" s="54" t="s">
        <v>126</v>
      </c>
      <c r="E93" s="55"/>
      <c r="F93" s="59" t="str">
        <f>VLOOKUP($D$7,'Source Data'!$A$2:$EU$28,94,FALSE)</f>
        <v>Sealed</v>
      </c>
      <c r="G93" s="4"/>
    </row>
    <row r="94" spans="2:7" ht="45" customHeight="1">
      <c r="B94" s="80">
        <v>15.2</v>
      </c>
      <c r="C94" s="3"/>
      <c r="D94" s="54" t="s">
        <v>127</v>
      </c>
      <c r="E94" s="55"/>
      <c r="F94" s="59" t="str">
        <f>VLOOKUP($D$7,'Source Data'!$A$2:$EU$28,95,FALSE)</f>
        <v>xxxxxxxxxx</v>
      </c>
      <c r="G94" s="4"/>
    </row>
    <row r="95" spans="2:7" ht="21.6" customHeight="1">
      <c r="B95" s="81">
        <v>16</v>
      </c>
      <c r="C95" s="3" t="s">
        <v>269</v>
      </c>
      <c r="D95" s="56" t="s">
        <v>128</v>
      </c>
      <c r="E95" s="55"/>
      <c r="F95" s="59"/>
      <c r="G95" s="4"/>
    </row>
    <row r="96" spans="2:7" ht="40.15" customHeight="1">
      <c r="B96" s="80">
        <v>16.100000000000001</v>
      </c>
      <c r="C96" s="3" t="s">
        <v>270</v>
      </c>
      <c r="D96" s="54" t="s">
        <v>129</v>
      </c>
      <c r="E96" s="55" t="s">
        <v>245</v>
      </c>
      <c r="F96" s="59" t="str">
        <f>VLOOKUP($D$7,'Source Data'!$A$2:$EU$28,97,FALSE)</f>
        <v>xxxxxxxxxxx</v>
      </c>
      <c r="G96" s="4"/>
    </row>
    <row r="97" spans="2:7" ht="40.15" customHeight="1">
      <c r="B97" s="80">
        <v>16.2</v>
      </c>
      <c r="C97" s="3" t="s">
        <v>270</v>
      </c>
      <c r="D97" s="54" t="s">
        <v>130</v>
      </c>
      <c r="E97" s="55" t="s">
        <v>245</v>
      </c>
      <c r="F97" s="59" t="str">
        <f>VLOOKUP($D$7,'Source Data'!$A$2:$EU$28,98,FALSE)</f>
        <v xml:space="preserve">≤ 1 500 </v>
      </c>
      <c r="G97" s="4"/>
    </row>
    <row r="98" spans="2:7" ht="40.15" customHeight="1">
      <c r="B98" s="80">
        <v>16.3</v>
      </c>
      <c r="C98" s="3" t="s">
        <v>270</v>
      </c>
      <c r="D98" s="54" t="s">
        <v>131</v>
      </c>
      <c r="E98" s="55" t="s">
        <v>245</v>
      </c>
      <c r="F98" s="59" t="str">
        <f>VLOOKUP($D$7,'Source Data'!$A$2:$EU$28,99,FALSE)</f>
        <v>≤ 2000</v>
      </c>
      <c r="G98" s="4"/>
    </row>
    <row r="99" spans="2:7" ht="40.15" customHeight="1">
      <c r="B99" s="80">
        <v>16.399999999999999</v>
      </c>
      <c r="C99" s="3" t="s">
        <v>270</v>
      </c>
      <c r="D99" s="54" t="s">
        <v>132</v>
      </c>
      <c r="E99" s="55" t="s">
        <v>271</v>
      </c>
      <c r="F99" s="3" t="str">
        <f>VLOOKUP($D$7,'Source Data'!$A$2:$EU$28,100,FALSE)</f>
        <v>≤ 1700</v>
      </c>
      <c r="G99" s="4"/>
    </row>
    <row r="100" spans="2:7" ht="40.15" customHeight="1">
      <c r="B100" s="80">
        <v>16.5</v>
      </c>
      <c r="C100" s="3"/>
      <c r="D100" s="54" t="s">
        <v>133</v>
      </c>
      <c r="E100" s="55" t="s">
        <v>272</v>
      </c>
      <c r="F100" s="3" t="str">
        <f>VLOOKUP($D$7,'Source Data'!$A$2:$EU$28,101,FALSE)</f>
        <v>xxxxxxxxxxx</v>
      </c>
      <c r="G100" s="4"/>
    </row>
    <row r="101" spans="2:7" ht="40.15" customHeight="1">
      <c r="B101" s="80">
        <v>16.600000000000001</v>
      </c>
      <c r="C101" s="3"/>
      <c r="D101" s="54" t="s">
        <v>134</v>
      </c>
      <c r="E101" s="55" t="s">
        <v>245</v>
      </c>
      <c r="F101" s="3">
        <f>VLOOKUP($D$7,'Source Data'!$A$2:$EU$28,102,FALSE)</f>
        <v>300</v>
      </c>
      <c r="G101" s="4"/>
    </row>
    <row r="102" spans="2:7" ht="45" customHeight="1">
      <c r="B102" s="80">
        <v>16.7</v>
      </c>
      <c r="C102" s="3" t="s">
        <v>273</v>
      </c>
      <c r="D102" s="54" t="s">
        <v>135</v>
      </c>
      <c r="E102" s="55" t="s">
        <v>245</v>
      </c>
      <c r="F102" s="3">
        <f>VLOOKUP($D$7,'Source Data'!$A$2:$EU$28,103,FALSE)</f>
        <v>100</v>
      </c>
      <c r="G102" s="4"/>
    </row>
    <row r="103" spans="2:7" ht="25.9" customHeight="1">
      <c r="B103" s="81">
        <v>17</v>
      </c>
      <c r="C103" s="3" t="s">
        <v>273</v>
      </c>
      <c r="D103" s="56" t="s">
        <v>136</v>
      </c>
      <c r="E103" s="55"/>
      <c r="F103" s="3"/>
      <c r="G103" s="4"/>
    </row>
    <row r="104" spans="2:7" ht="45" customHeight="1">
      <c r="B104" s="80">
        <v>17.100000000000001</v>
      </c>
      <c r="C104" s="3"/>
      <c r="D104" s="54" t="s">
        <v>137</v>
      </c>
      <c r="E104" s="55"/>
      <c r="F104" s="3" t="str">
        <f>VLOOKUP($D$7,'Source Data'!$A$2:$EU$28,105,FALSE)</f>
        <v>No</v>
      </c>
      <c r="G104" s="4" t="s">
        <v>178</v>
      </c>
    </row>
    <row r="105" spans="2:7" ht="45" customHeight="1">
      <c r="B105" s="80" t="s">
        <v>274</v>
      </c>
      <c r="C105" s="83"/>
      <c r="D105" s="54" t="s">
        <v>138</v>
      </c>
      <c r="E105" s="55"/>
      <c r="F105" s="3" t="str">
        <f>VLOOKUP($D$7,'Source Data'!$A$2:$EU$28,106,FALSE)</f>
        <v>N/A</v>
      </c>
      <c r="G105" s="4" t="s">
        <v>178</v>
      </c>
    </row>
    <row r="106" spans="2:7" ht="45" customHeight="1">
      <c r="B106" s="80" t="s">
        <v>275</v>
      </c>
      <c r="C106" s="83"/>
      <c r="D106" s="58" t="s">
        <v>139</v>
      </c>
      <c r="E106" s="55"/>
      <c r="F106" s="3" t="str">
        <f>VLOOKUP($D$7,'Source Data'!$A$2:$EU$28,107,FALSE)</f>
        <v>N/A</v>
      </c>
      <c r="G106" s="4" t="s">
        <v>178</v>
      </c>
    </row>
    <row r="107" spans="2:7" ht="45" customHeight="1">
      <c r="B107" s="80" t="s">
        <v>276</v>
      </c>
      <c r="C107" s="83"/>
      <c r="D107" s="58" t="s">
        <v>140</v>
      </c>
      <c r="E107" s="55"/>
      <c r="F107" s="3" t="str">
        <f>VLOOKUP($D$7,'Source Data'!$A$2:$EU$28,108,FALSE)</f>
        <v>N/A</v>
      </c>
      <c r="G107" s="4" t="s">
        <v>178</v>
      </c>
    </row>
    <row r="108" spans="2:7" ht="45" customHeight="1">
      <c r="B108" s="80" t="s">
        <v>277</v>
      </c>
      <c r="C108" s="83"/>
      <c r="D108" s="58" t="s">
        <v>141</v>
      </c>
      <c r="E108" s="55"/>
      <c r="F108" s="3" t="str">
        <f>VLOOKUP($D$7,'Source Data'!$A$2:$EU$28,109,FALSE)</f>
        <v>N/A</v>
      </c>
      <c r="G108" s="4"/>
    </row>
    <row r="109" spans="2:7" ht="45" customHeight="1">
      <c r="B109" s="80">
        <v>17.2</v>
      </c>
      <c r="C109" s="3"/>
      <c r="D109" s="54" t="s">
        <v>142</v>
      </c>
      <c r="E109" s="55" t="s">
        <v>245</v>
      </c>
      <c r="F109" s="3" t="str">
        <f>VLOOKUP($D$7,'Source Data'!$A$2:$EU$28,110,FALSE)</f>
        <v>N/A</v>
      </c>
      <c r="G109" s="4" t="s">
        <v>178</v>
      </c>
    </row>
    <row r="110" spans="2:7" ht="45" customHeight="1">
      <c r="B110" s="80">
        <v>17.3</v>
      </c>
      <c r="C110" s="3"/>
      <c r="D110" s="54" t="s">
        <v>143</v>
      </c>
      <c r="E110" s="55" t="s">
        <v>245</v>
      </c>
      <c r="F110" s="3" t="str">
        <f>VLOOKUP($D$7,'Source Data'!$A$2:$EU$28,111,FALSE)</f>
        <v>N/A</v>
      </c>
      <c r="G110" s="4" t="s">
        <v>178</v>
      </c>
    </row>
    <row r="111" spans="2:7" ht="45" customHeight="1">
      <c r="B111" s="80">
        <v>17.399999999999999</v>
      </c>
      <c r="C111" s="3"/>
      <c r="D111" s="54" t="s">
        <v>144</v>
      </c>
      <c r="E111" s="55" t="s">
        <v>245</v>
      </c>
      <c r="F111" s="3" t="str">
        <f>VLOOKUP($D$7,'Source Data'!$A$2:$EU$28,112,FALSE)</f>
        <v>N/A</v>
      </c>
      <c r="G111" s="4" t="s">
        <v>178</v>
      </c>
    </row>
    <row r="112" spans="2:7" ht="45" customHeight="1">
      <c r="B112" s="80">
        <v>17.5</v>
      </c>
      <c r="C112" s="3"/>
      <c r="D112" s="54" t="s">
        <v>145</v>
      </c>
      <c r="E112" s="55" t="s">
        <v>245</v>
      </c>
      <c r="F112" s="3" t="str">
        <f>VLOOKUP($D$7,'Source Data'!$A$2:$EU$28,113,FALSE)</f>
        <v>N/A</v>
      </c>
      <c r="G112" s="4" t="s">
        <v>178</v>
      </c>
    </row>
    <row r="113" spans="2:7" ht="45" customHeight="1">
      <c r="B113" s="80">
        <v>17.600000000000001</v>
      </c>
      <c r="C113" s="3"/>
      <c r="D113" s="54" t="s">
        <v>146</v>
      </c>
      <c r="E113" s="55" t="s">
        <v>245</v>
      </c>
      <c r="F113" s="3" t="str">
        <f>VLOOKUP($D$7,'Source Data'!$A$2:$EU$28,114,FALSE)</f>
        <v>N/A</v>
      </c>
      <c r="G113" s="4" t="s">
        <v>178</v>
      </c>
    </row>
    <row r="114" spans="2:7" ht="45" customHeight="1">
      <c r="B114" s="81">
        <v>18</v>
      </c>
      <c r="C114" s="3" t="s">
        <v>278</v>
      </c>
      <c r="D114" s="56" t="s">
        <v>147</v>
      </c>
      <c r="E114" s="55"/>
      <c r="F114" s="3"/>
      <c r="G114" s="4"/>
    </row>
    <row r="115" spans="2:7" ht="45" customHeight="1">
      <c r="B115" s="80">
        <v>18.100000000000001</v>
      </c>
      <c r="C115" s="3"/>
      <c r="D115" s="54" t="s">
        <v>148</v>
      </c>
      <c r="E115" s="55"/>
      <c r="F115" s="3" t="str">
        <f>VLOOKUP($D$7,'Source Data'!$A$2:$EU$28,116,FALSE)</f>
        <v>Yes</v>
      </c>
      <c r="G115" s="4" t="s">
        <v>178</v>
      </c>
    </row>
    <row r="116" spans="2:7" ht="45" customHeight="1">
      <c r="B116" s="80">
        <v>18.2</v>
      </c>
      <c r="C116" s="3" t="s">
        <v>279</v>
      </c>
      <c r="D116" s="54" t="s">
        <v>149</v>
      </c>
      <c r="E116" s="55" t="s">
        <v>245</v>
      </c>
      <c r="F116" s="3">
        <f>VLOOKUP($D$7,'Source Data'!$A$2:$EU$28,117,FALSE)</f>
        <v>400</v>
      </c>
      <c r="G116" s="4"/>
    </row>
    <row r="117" spans="2:7" ht="45" customHeight="1">
      <c r="B117" s="80">
        <v>18.3</v>
      </c>
      <c r="C117" s="3" t="s">
        <v>279</v>
      </c>
      <c r="D117" s="54" t="s">
        <v>150</v>
      </c>
      <c r="E117" s="55" t="s">
        <v>245</v>
      </c>
      <c r="F117" s="3" t="str">
        <f>VLOOKUP($D$7,'Source Data'!$A$2:$EU$28,118,FALSE)</f>
        <v>xxxxxxxxxxx</v>
      </c>
      <c r="G117" s="4"/>
    </row>
    <row r="118" spans="2:7" ht="45" customHeight="1">
      <c r="B118" s="80">
        <v>18.399999999999999</v>
      </c>
      <c r="C118" s="3" t="s">
        <v>279</v>
      </c>
      <c r="D118" s="54" t="s">
        <v>151</v>
      </c>
      <c r="E118" s="55" t="s">
        <v>245</v>
      </c>
      <c r="F118" s="3" t="str">
        <f>VLOOKUP($D$7,'Source Data'!$A$2:$EU$28,119,FALSE)</f>
        <v>≥ 320</v>
      </c>
      <c r="G118" s="4"/>
    </row>
    <row r="119" spans="2:7" ht="45" customHeight="1">
      <c r="B119" s="80">
        <v>18.5</v>
      </c>
      <c r="C119" s="3" t="s">
        <v>279</v>
      </c>
      <c r="D119" s="54" t="s">
        <v>152</v>
      </c>
      <c r="E119" s="55" t="s">
        <v>245</v>
      </c>
      <c r="F119" s="3" t="str">
        <f>VLOOKUP($D$7,'Source Data'!$A$2:$EU$28,110,FALSE)</f>
        <v>N/A</v>
      </c>
      <c r="G119" s="4"/>
    </row>
    <row r="120" spans="2:7" ht="45" customHeight="1">
      <c r="B120" s="80">
        <v>18.600000000000001</v>
      </c>
      <c r="C120" s="3" t="s">
        <v>279</v>
      </c>
      <c r="D120" s="54" t="s">
        <v>145</v>
      </c>
      <c r="E120" s="55" t="s">
        <v>245</v>
      </c>
      <c r="F120" s="3" t="str">
        <f>VLOOKUP($D$7,'Source Data'!$A$2:$EU$28,111,FALSE)</f>
        <v>N/A</v>
      </c>
      <c r="G120" s="4"/>
    </row>
    <row r="121" spans="2:7" ht="45" customHeight="1">
      <c r="B121" s="81">
        <v>19</v>
      </c>
      <c r="C121" s="3" t="s">
        <v>280</v>
      </c>
      <c r="D121" s="56" t="s">
        <v>153</v>
      </c>
      <c r="E121" s="55"/>
      <c r="F121" s="3"/>
      <c r="G121" s="4"/>
    </row>
    <row r="122" spans="2:7" ht="45" customHeight="1">
      <c r="B122" s="80">
        <v>19.100000000000001</v>
      </c>
      <c r="C122" s="3"/>
      <c r="D122" s="54" t="s">
        <v>154</v>
      </c>
      <c r="E122" s="55"/>
      <c r="F122" s="3" t="str">
        <f>VLOOKUP($D$7,'Source Data'!$A$2:$EU$28,123,FALSE)</f>
        <v>Yes</v>
      </c>
      <c r="G122" s="4"/>
    </row>
    <row r="123" spans="2:7" ht="45" customHeight="1">
      <c r="B123" s="80">
        <v>19.2</v>
      </c>
      <c r="C123" s="3"/>
      <c r="D123" s="54" t="s">
        <v>155</v>
      </c>
      <c r="E123" s="55" t="s">
        <v>245</v>
      </c>
      <c r="F123" s="3" t="str">
        <f>VLOOKUP($D$7,'Source Data'!$A$2:$EU$28,124,FALSE)</f>
        <v xml:space="preserve">≥ 30 </v>
      </c>
      <c r="G123" s="4"/>
    </row>
    <row r="124" spans="2:7" ht="45" customHeight="1">
      <c r="B124" s="81">
        <v>20</v>
      </c>
      <c r="C124" s="3" t="s">
        <v>281</v>
      </c>
      <c r="D124" s="56" t="s">
        <v>156</v>
      </c>
      <c r="E124" s="55"/>
      <c r="F124" s="3"/>
      <c r="G124" s="4"/>
    </row>
    <row r="125" spans="2:7" ht="45" customHeight="1">
      <c r="B125" s="80">
        <v>20.100000000000001</v>
      </c>
      <c r="C125" s="3"/>
      <c r="D125" s="54" t="s">
        <v>157</v>
      </c>
      <c r="E125" s="55"/>
      <c r="F125" s="3" t="str">
        <f>VLOOKUP($D$7,'Source Data'!$A$2:$EU$28,126,FALSE)</f>
        <v>316 Stainless Steel or Mild Steel</v>
      </c>
      <c r="G125" s="4"/>
    </row>
    <row r="126" spans="2:7" ht="45" customHeight="1">
      <c r="B126" s="80">
        <v>20.2</v>
      </c>
      <c r="C126" s="3"/>
      <c r="D126" s="54" t="s">
        <v>158</v>
      </c>
      <c r="E126" s="55" t="s">
        <v>245</v>
      </c>
      <c r="F126" s="3" t="str">
        <f>VLOOKUP($D$7,'Source Data'!$A$2:$EU$28,127,FALSE)</f>
        <v>≥ 30</v>
      </c>
      <c r="G126" s="4"/>
    </row>
    <row r="127" spans="2:7" ht="45" customHeight="1">
      <c r="B127" s="80">
        <v>20.3</v>
      </c>
      <c r="C127" s="3"/>
      <c r="D127" s="54" t="s">
        <v>159</v>
      </c>
      <c r="E127" s="55"/>
      <c r="F127" s="3" t="str">
        <f>VLOOKUP($D$7,'Source Data'!$A$2:$EU$28,128,FALSE)</f>
        <v>316 Stainless Steel or Mild Steel</v>
      </c>
      <c r="G127" s="4"/>
    </row>
    <row r="128" spans="2:7" ht="45" customHeight="1">
      <c r="B128" s="80">
        <v>20.399999999999999</v>
      </c>
      <c r="C128" s="3"/>
      <c r="D128" s="54" t="s">
        <v>160</v>
      </c>
      <c r="E128" s="55" t="s">
        <v>245</v>
      </c>
      <c r="F128" s="3" t="str">
        <f>VLOOKUP($D$7,'Source Data'!$A$2:$EU$28,129,FALSE)</f>
        <v xml:space="preserve">M12 x 25 </v>
      </c>
      <c r="G128" s="4"/>
    </row>
    <row r="129" spans="2:7" ht="45" customHeight="1">
      <c r="B129" s="80">
        <v>20.5</v>
      </c>
      <c r="C129" s="3"/>
      <c r="D129" s="54" t="s">
        <v>161</v>
      </c>
      <c r="E129" s="55"/>
      <c r="F129" s="3" t="str">
        <f>VLOOKUP($D$7,'Source Data'!$A$2:$EU$28,130,FALSE)</f>
        <v>Yes</v>
      </c>
      <c r="G129" s="4"/>
    </row>
    <row r="130" spans="2:7" ht="45" customHeight="1">
      <c r="B130" s="81">
        <v>21</v>
      </c>
      <c r="C130" s="3" t="s">
        <v>282</v>
      </c>
      <c r="D130" s="56" t="s">
        <v>162</v>
      </c>
      <c r="E130" s="55"/>
      <c r="F130" s="3"/>
      <c r="G130" s="4"/>
    </row>
    <row r="131" spans="2:7" ht="45" customHeight="1">
      <c r="B131" s="80">
        <v>21.1</v>
      </c>
      <c r="C131" s="3"/>
      <c r="D131" s="54" t="s">
        <v>163</v>
      </c>
      <c r="E131" s="55"/>
      <c r="F131" s="3" t="str">
        <f>VLOOKUP($D$7,'Source Data'!$A$2:$EU$28,132,FALSE)</f>
        <v>Yes</v>
      </c>
      <c r="G131" s="4"/>
    </row>
    <row r="132" spans="2:7" ht="45" customHeight="1">
      <c r="B132" s="80">
        <v>21.2</v>
      </c>
      <c r="C132" s="3" t="s">
        <v>283</v>
      </c>
      <c r="D132" s="54" t="s">
        <v>145</v>
      </c>
      <c r="E132" s="55" t="s">
        <v>245</v>
      </c>
      <c r="F132" s="3">
        <f>VLOOKUP($D$7,'Source Data'!$A$2:$EU$28,133,FALSE)</f>
        <v>14</v>
      </c>
      <c r="G132" s="4"/>
    </row>
    <row r="133" spans="2:7" ht="45" customHeight="1">
      <c r="B133" s="80">
        <v>21.3</v>
      </c>
      <c r="C133" s="3" t="s">
        <v>283</v>
      </c>
      <c r="D133" s="54" t="s">
        <v>164</v>
      </c>
      <c r="E133" s="55" t="s">
        <v>245</v>
      </c>
      <c r="F133" s="3" t="str">
        <f>VLOOKUP($D$7,'Source Data'!$A$2:$EU$28,134,FALSE)</f>
        <v>≥ 200</v>
      </c>
      <c r="G133" s="4"/>
    </row>
    <row r="134" spans="2:7" ht="45" customHeight="1">
      <c r="B134" s="80">
        <v>21.4</v>
      </c>
      <c r="C134" s="3" t="s">
        <v>283</v>
      </c>
      <c r="D134" s="54" t="s">
        <v>165</v>
      </c>
      <c r="E134" s="55" t="s">
        <v>245</v>
      </c>
      <c r="F134" s="3" t="str">
        <f>VLOOKUP($D$7,'Source Data'!$A$2:$EU$28,135,FALSE)</f>
        <v>≥ 300</v>
      </c>
      <c r="G134" s="4"/>
    </row>
    <row r="135" spans="2:7" ht="45" customHeight="1">
      <c r="B135" s="80">
        <v>21.5</v>
      </c>
      <c r="C135" s="3" t="s">
        <v>283</v>
      </c>
      <c r="D135" s="54" t="s">
        <v>166</v>
      </c>
      <c r="E135" s="55" t="s">
        <v>245</v>
      </c>
      <c r="F135" s="3" t="str">
        <f>VLOOKUP($D$7,'Source Data'!$A$2:$EU$28,136,FALSE)</f>
        <v>≥ 150</v>
      </c>
      <c r="G135" s="4"/>
    </row>
    <row r="136" spans="2:7" ht="45" customHeight="1">
      <c r="B136" s="81">
        <v>22</v>
      </c>
      <c r="C136" s="60">
        <v>3.4</v>
      </c>
      <c r="D136" s="61" t="s">
        <v>173</v>
      </c>
      <c r="E136" s="62"/>
      <c r="F136" s="60"/>
      <c r="G136" s="63"/>
    </row>
    <row r="137" spans="2:7" ht="45" customHeight="1">
      <c r="B137" s="80">
        <v>22.1</v>
      </c>
      <c r="C137" s="3"/>
      <c r="D137" s="64" t="s">
        <v>174</v>
      </c>
      <c r="E137" s="55"/>
      <c r="F137" s="3"/>
      <c r="G137" s="4"/>
    </row>
    <row r="138" spans="2:7" ht="45" customHeight="1">
      <c r="B138" s="80">
        <v>22.2</v>
      </c>
      <c r="C138" s="3"/>
      <c r="D138" s="64" t="s">
        <v>169</v>
      </c>
      <c r="E138" s="55"/>
      <c r="F138" s="3" t="str">
        <f>VLOOKUP($D$7,'Source Data'!$A$2:$EU$28,145,FALSE)</f>
        <v>xxxxxxxxxxx</v>
      </c>
      <c r="G138" s="4"/>
    </row>
    <row r="139" spans="2:7" ht="45" customHeight="1">
      <c r="B139" s="80">
        <v>22.3</v>
      </c>
      <c r="C139" s="3"/>
      <c r="D139" s="64" t="s">
        <v>170</v>
      </c>
      <c r="E139" s="55"/>
      <c r="F139" s="3" t="str">
        <f>VLOOKUP($D$7,'Source Data'!$A$2:$EU$28,146,FALSE)</f>
        <v>xxxxxxxxxxx</v>
      </c>
      <c r="G139" s="4"/>
    </row>
    <row r="140" spans="2:7" ht="45" customHeight="1">
      <c r="B140" s="80">
        <v>22.4</v>
      </c>
      <c r="C140" s="84"/>
      <c r="D140" s="64" t="s">
        <v>171</v>
      </c>
      <c r="E140" s="65"/>
      <c r="F140" s="3" t="str">
        <f>VLOOKUP($D$7,'Source Data'!$A$2:$EU$28,147,FALSE)</f>
        <v>xxxxxxxxxxx</v>
      </c>
      <c r="G140" s="66"/>
    </row>
    <row r="141" spans="2:7" ht="45" customHeight="1">
      <c r="B141" s="80">
        <v>22.5</v>
      </c>
      <c r="C141" s="84"/>
      <c r="D141" s="64" t="s">
        <v>172</v>
      </c>
      <c r="E141" s="65"/>
      <c r="F141" s="3" t="str">
        <f>VLOOKUP($D$7,'Source Data'!$A$2:$EU$28,148,FALSE)</f>
        <v>Azure Blue</v>
      </c>
      <c r="G141" s="66"/>
    </row>
    <row r="142" spans="2:7" ht="151.15">
      <c r="B142" s="85">
        <v>23</v>
      </c>
      <c r="C142" s="84">
        <v>4.2</v>
      </c>
      <c r="D142" s="61" t="s">
        <v>284</v>
      </c>
      <c r="E142" s="65"/>
      <c r="F142" s="3" t="str">
        <f>VLOOKUP($D$7,'Source Data'!$A$2:$EU$28,149,FALSE)</f>
        <v>Report Numbers</v>
      </c>
      <c r="G142" s="66"/>
    </row>
    <row r="143" spans="2:7" ht="241.9" thickBot="1">
      <c r="B143" s="86">
        <v>24</v>
      </c>
      <c r="C143" s="67">
        <v>4.3</v>
      </c>
      <c r="D143" s="68" t="s">
        <v>285</v>
      </c>
      <c r="E143" s="69"/>
      <c r="F143" s="67" t="str">
        <f>VLOOKUP($D$7,'Source Data'!$A$2:$EU$28,150,FALSE)</f>
        <v>Report Numbers</v>
      </c>
      <c r="G143" s="70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&amp;CSWER Isolation, 200kVA 22kV/ 19kV* (Coastal, Ester Oil Only)</oddHeader>
  </headerFooter>
  <rowBreaks count="4" manualBreakCount="4">
    <brk id="37" min="1" max="6" man="1"/>
    <brk id="68" min="1" max="6" man="1"/>
    <brk id="102" min="1" max="6" man="1"/>
    <brk id="123" min="1" max="6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1BC5C-FCC8-48F5-9C83-EBF79047C0E0}">
  <sheetPr>
    <pageSetUpPr fitToPage="1"/>
  </sheetPr>
  <dimension ref="B1:G143"/>
  <sheetViews>
    <sheetView topLeftCell="A73" zoomScale="85" zoomScaleNormal="85" zoomScaleSheetLayoutView="70" workbookViewId="0">
      <selection activeCell="D79" sqref="D79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28" bestFit="1" customWidth="1"/>
    <col min="6" max="6" width="22.85546875" customWidth="1"/>
    <col min="7" max="7" width="30.85546875" customWidth="1"/>
  </cols>
  <sheetData>
    <row r="1" spans="2:7" ht="15" thickBot="1"/>
    <row r="2" spans="2:7">
      <c r="B2" s="29"/>
      <c r="C2" s="30"/>
      <c r="D2" s="30"/>
      <c r="E2" s="31"/>
      <c r="F2" s="30"/>
      <c r="G2" s="32"/>
    </row>
    <row r="3" spans="2:7">
      <c r="B3" s="33"/>
      <c r="C3" s="34"/>
      <c r="D3" s="34"/>
      <c r="E3" s="35"/>
      <c r="F3" s="91" t="s">
        <v>226</v>
      </c>
      <c r="G3" s="92"/>
    </row>
    <row r="4" spans="2:7">
      <c r="B4" s="33"/>
      <c r="C4" s="34"/>
      <c r="D4" s="34"/>
      <c r="E4" s="35"/>
      <c r="F4" s="91" t="str">
        <f>'List of Items &amp; Enquiry number'!B14</f>
        <v>Enquiry Number: 123456XYZ</v>
      </c>
      <c r="G4" s="92"/>
    </row>
    <row r="5" spans="2:7">
      <c r="B5" s="33"/>
      <c r="C5" s="34"/>
      <c r="D5" s="34"/>
      <c r="E5" s="35"/>
      <c r="F5" s="34"/>
      <c r="G5" s="36"/>
    </row>
    <row r="6" spans="2:7" ht="28.9">
      <c r="B6" s="37"/>
      <c r="C6" s="38"/>
      <c r="D6" s="39" t="s">
        <v>227</v>
      </c>
      <c r="E6" s="40"/>
      <c r="F6" s="41"/>
      <c r="G6" s="42"/>
    </row>
    <row r="7" spans="2:7">
      <c r="B7" s="33"/>
      <c r="C7" s="34"/>
      <c r="D7" s="43" t="s">
        <v>43</v>
      </c>
      <c r="E7" s="35"/>
      <c r="F7" s="34"/>
      <c r="G7" s="36"/>
    </row>
    <row r="8" spans="2:7">
      <c r="B8" s="33"/>
      <c r="C8" s="34"/>
      <c r="D8" s="76" t="s">
        <v>228</v>
      </c>
      <c r="E8" s="34"/>
      <c r="F8" s="93" t="s">
        <v>229</v>
      </c>
      <c r="G8" s="94"/>
    </row>
    <row r="9" spans="2:7">
      <c r="B9" s="44" t="s">
        <v>230</v>
      </c>
      <c r="C9" s="1"/>
      <c r="D9" s="1"/>
      <c r="E9" s="1"/>
      <c r="F9" s="93"/>
      <c r="G9" s="94"/>
    </row>
    <row r="10" spans="2:7" ht="15" thickBot="1">
      <c r="B10" s="97" t="s">
        <v>231</v>
      </c>
      <c r="C10" s="98"/>
      <c r="D10" s="98"/>
      <c r="E10" s="45"/>
      <c r="F10" s="95"/>
      <c r="G10" s="96"/>
    </row>
    <row r="11" spans="2:7" ht="28.15" customHeight="1" thickBot="1">
      <c r="B11" s="49" t="s">
        <v>232</v>
      </c>
      <c r="C11" s="78" t="s">
        <v>233</v>
      </c>
      <c r="D11" s="47" t="s">
        <v>15</v>
      </c>
      <c r="E11" s="48"/>
      <c r="F11" s="49" t="s">
        <v>234</v>
      </c>
      <c r="G11" s="46" t="s">
        <v>235</v>
      </c>
    </row>
    <row r="12" spans="2:7" ht="21" customHeight="1">
      <c r="B12" s="79">
        <v>1</v>
      </c>
      <c r="C12" s="50"/>
      <c r="D12" s="51" t="s">
        <v>54</v>
      </c>
      <c r="E12" s="52"/>
      <c r="F12" s="50"/>
      <c r="G12" s="53"/>
    </row>
    <row r="13" spans="2:7" ht="45" customHeight="1">
      <c r="B13" s="80">
        <v>1.1000000000000001</v>
      </c>
      <c r="C13" s="3"/>
      <c r="D13" s="54" t="s">
        <v>55</v>
      </c>
      <c r="E13" s="55"/>
      <c r="F13" s="3" t="str">
        <f>VLOOKUP($D$7,'Source Data'!$A$2:$EU$28,3,FALSE)</f>
        <v>xxxxxxxxxxx</v>
      </c>
      <c r="G13" s="4"/>
    </row>
    <row r="14" spans="2:7" ht="45" customHeight="1">
      <c r="B14" s="80">
        <v>1.2000000000000002</v>
      </c>
      <c r="C14" s="3"/>
      <c r="D14" s="54" t="s">
        <v>56</v>
      </c>
      <c r="E14" s="55"/>
      <c r="F14" s="3" t="str">
        <f>VLOOKUP($D$7,'Source Data'!$A$2:$EU$28,4,FALSE)</f>
        <v>xxxxxxxxxxx</v>
      </c>
      <c r="G14" s="4"/>
    </row>
    <row r="15" spans="2:7" ht="45" customHeight="1">
      <c r="B15" s="80">
        <v>1.3</v>
      </c>
      <c r="C15" s="3"/>
      <c r="D15" s="54" t="s">
        <v>58</v>
      </c>
      <c r="E15" s="55"/>
      <c r="F15" s="3" t="str">
        <f>VLOOKUP($D$7,'Source Data'!$A$2:$EU$28,6,FALSE)</f>
        <v>xxxxxxxxxxx</v>
      </c>
      <c r="G15" s="4"/>
    </row>
    <row r="16" spans="2:7" ht="45" customHeight="1">
      <c r="B16" s="80">
        <v>1.4</v>
      </c>
      <c r="C16" s="3"/>
      <c r="D16" s="54" t="s">
        <v>236</v>
      </c>
      <c r="E16" s="55"/>
      <c r="F16" s="3" t="str">
        <f>VLOOKUP($D$7,'Source Data'!$A$2:$EU$28,7,FALSE)</f>
        <v>xxxxxxxxxxx</v>
      </c>
      <c r="G16" s="4"/>
    </row>
    <row r="17" spans="2:7" ht="45" customHeight="1">
      <c r="B17" s="80">
        <v>1.5</v>
      </c>
      <c r="C17" s="3"/>
      <c r="D17" s="54" t="s">
        <v>237</v>
      </c>
      <c r="E17" s="55"/>
      <c r="F17" s="3" t="str">
        <f>VLOOKUP($D$7,'Source Data'!$A$2:$EU$28,8,FALSE)</f>
        <v>xxxxxxxxxxx</v>
      </c>
      <c r="G17" s="4"/>
    </row>
    <row r="18" spans="2:7" ht="45" customHeight="1">
      <c r="B18" s="80">
        <v>1.6</v>
      </c>
      <c r="C18" s="3"/>
      <c r="D18" s="54" t="s">
        <v>61</v>
      </c>
      <c r="E18" s="55"/>
      <c r="F18" s="3" t="str">
        <f>VLOOKUP($D$7,'Source Data'!$A$2:$EU$28,9,FALSE)</f>
        <v>Ester Oil</v>
      </c>
      <c r="G18" s="4"/>
    </row>
    <row r="19" spans="2:7" ht="24.6" customHeight="1">
      <c r="B19" s="81">
        <v>2</v>
      </c>
      <c r="C19" s="3" t="s">
        <v>238</v>
      </c>
      <c r="D19" s="56" t="s">
        <v>62</v>
      </c>
      <c r="E19" s="55"/>
      <c r="F19" s="3"/>
      <c r="G19" s="4"/>
    </row>
    <row r="20" spans="2:7" ht="45" customHeight="1">
      <c r="B20" s="80">
        <v>2.1</v>
      </c>
      <c r="C20" s="3"/>
      <c r="D20" s="54" t="s">
        <v>63</v>
      </c>
      <c r="E20" s="55" t="s">
        <v>239</v>
      </c>
      <c r="F20" s="3">
        <f>VLOOKUP($D$7,'Source Data'!$A$2:$EU$28,11,FALSE)</f>
        <v>200</v>
      </c>
      <c r="G20" s="4"/>
    </row>
    <row r="21" spans="2:7" ht="45" customHeight="1">
      <c r="B21" s="80">
        <v>2.2000000000000002</v>
      </c>
      <c r="C21" s="3"/>
      <c r="D21" s="54" t="s">
        <v>64</v>
      </c>
      <c r="E21" s="55" t="s">
        <v>240</v>
      </c>
      <c r="F21" s="3">
        <f>VLOOKUP($D$7,'Source Data'!$A$2:$EU$28,12,FALSE)</f>
        <v>33</v>
      </c>
      <c r="G21" s="4"/>
    </row>
    <row r="22" spans="2:7" ht="45" customHeight="1">
      <c r="B22" s="80">
        <v>2.3000000000000003</v>
      </c>
      <c r="C22" s="3"/>
      <c r="D22" s="54" t="s">
        <v>241</v>
      </c>
      <c r="E22" s="55" t="s">
        <v>240</v>
      </c>
      <c r="F22" s="3">
        <f>VLOOKUP($D$7,'Source Data'!$A$2:$EU$28,13,FALSE)</f>
        <v>19</v>
      </c>
      <c r="G22" s="4"/>
    </row>
    <row r="23" spans="2:7" ht="45" customHeight="1">
      <c r="B23" s="80">
        <v>2.4000000000000004</v>
      </c>
      <c r="C23" s="3"/>
      <c r="D23" s="54" t="s">
        <v>66</v>
      </c>
      <c r="E23" s="55" t="s">
        <v>242</v>
      </c>
      <c r="F23" s="3">
        <f>VLOOKUP($D$7,'Source Data'!$A$2:$EU$28,14,FALSE)</f>
        <v>50</v>
      </c>
      <c r="G23" s="4"/>
    </row>
    <row r="24" spans="2:7" ht="45" customHeight="1">
      <c r="B24" s="80">
        <v>2.5</v>
      </c>
      <c r="C24" s="3"/>
      <c r="D24" s="54" t="s">
        <v>67</v>
      </c>
      <c r="E24" s="55"/>
      <c r="F24" s="3" t="str">
        <f>VLOOKUP($D$7,'Source Data'!$A$2:$EU$28,15,FALSE)</f>
        <v>1ph</v>
      </c>
      <c r="G24" s="4"/>
    </row>
    <row r="25" spans="2:7" ht="45" customHeight="1">
      <c r="B25" s="80">
        <v>2.6</v>
      </c>
      <c r="C25" s="3"/>
      <c r="D25" s="54" t="s">
        <v>68</v>
      </c>
      <c r="E25" s="55"/>
      <c r="F25" s="3" t="str">
        <f>VLOOKUP($D$7,'Source Data'!$A$2:$EU$28,16,FALSE)</f>
        <v>N/A</v>
      </c>
      <c r="G25" s="4" t="s">
        <v>178</v>
      </c>
    </row>
    <row r="26" spans="2:7" ht="24.6" customHeight="1">
      <c r="B26" s="81">
        <v>3</v>
      </c>
      <c r="C26" s="3" t="s">
        <v>243</v>
      </c>
      <c r="D26" s="56" t="s">
        <v>69</v>
      </c>
      <c r="E26" s="55"/>
      <c r="F26" s="3"/>
      <c r="G26" s="4"/>
    </row>
    <row r="27" spans="2:7" ht="45" customHeight="1">
      <c r="B27" s="80">
        <v>3.1</v>
      </c>
      <c r="C27" s="3"/>
      <c r="D27" s="54" t="s">
        <v>70</v>
      </c>
      <c r="E27" s="55" t="s">
        <v>240</v>
      </c>
      <c r="F27" s="3">
        <f>VLOOKUP($D$7,'Source Data'!$A$2:$EU$28,18,FALSE)</f>
        <v>200</v>
      </c>
      <c r="G27" s="4"/>
    </row>
    <row r="28" spans="2:7" ht="45" customHeight="1">
      <c r="B28" s="80">
        <v>3.2</v>
      </c>
      <c r="C28" s="3"/>
      <c r="D28" s="54" t="s">
        <v>71</v>
      </c>
      <c r="E28" s="55" t="s">
        <v>240</v>
      </c>
      <c r="F28" s="3">
        <f>VLOOKUP($D$7,'Source Data'!$A$2:$EU$28,19,FALSE)</f>
        <v>200</v>
      </c>
      <c r="G28" s="4"/>
    </row>
    <row r="29" spans="2:7" ht="45" customHeight="1">
      <c r="B29" s="80">
        <v>3.3</v>
      </c>
      <c r="C29" s="3"/>
      <c r="D29" s="54" t="s">
        <v>72</v>
      </c>
      <c r="E29" s="55" t="s">
        <v>240</v>
      </c>
      <c r="F29" s="3">
        <f>VLOOKUP($D$7,'Source Data'!$A$2:$EU$28,20,FALSE)</f>
        <v>30</v>
      </c>
      <c r="G29" s="4"/>
    </row>
    <row r="30" spans="2:7" ht="45" customHeight="1">
      <c r="B30" s="80">
        <v>3.4</v>
      </c>
      <c r="C30" s="3"/>
      <c r="D30" s="54" t="s">
        <v>73</v>
      </c>
      <c r="E30" s="55" t="s">
        <v>240</v>
      </c>
      <c r="F30" s="3">
        <f>VLOOKUP($D$7,'Source Data'!$A$2:$EU$28,21,FALSE)</f>
        <v>70</v>
      </c>
      <c r="G30" s="4"/>
    </row>
    <row r="31" spans="2:7" ht="45" customHeight="1">
      <c r="B31" s="80">
        <v>3.5</v>
      </c>
      <c r="C31" s="3"/>
      <c r="D31" s="54" t="s">
        <v>74</v>
      </c>
      <c r="E31" s="55" t="s">
        <v>240</v>
      </c>
      <c r="F31" s="3">
        <f>VLOOKUP($D$7,'Source Data'!$A$2:$EU$28,22,FALSE)</f>
        <v>8</v>
      </c>
      <c r="G31" s="4"/>
    </row>
    <row r="32" spans="2:7" ht="33" customHeight="1">
      <c r="B32" s="81">
        <v>4</v>
      </c>
      <c r="C32" s="3" t="s">
        <v>244</v>
      </c>
      <c r="D32" s="56" t="s">
        <v>75</v>
      </c>
      <c r="E32" s="55"/>
      <c r="F32" s="3"/>
      <c r="G32" s="4"/>
    </row>
    <row r="33" spans="2:7" ht="45" customHeight="1">
      <c r="B33" s="80">
        <v>4.0999999999999996</v>
      </c>
      <c r="C33" s="3"/>
      <c r="D33" s="54" t="s">
        <v>76</v>
      </c>
      <c r="E33" s="55"/>
      <c r="F33" s="3" t="str">
        <f>VLOOKUP($D$7,'Source Data'!$A$2:$EU$28,24,FALSE)</f>
        <v>xxxxxxxxxxx</v>
      </c>
      <c r="G33" s="4"/>
    </row>
    <row r="34" spans="2:7" ht="45" customHeight="1">
      <c r="B34" s="80">
        <v>4.1999999999999993</v>
      </c>
      <c r="C34" s="3"/>
      <c r="D34" s="54" t="s">
        <v>77</v>
      </c>
      <c r="E34" s="55"/>
      <c r="F34" s="3" t="str">
        <f>VLOOKUP($D$7,'Source Data'!$A$2:$EU$28,25,FALSE)</f>
        <v>Grade 3</v>
      </c>
      <c r="G34" s="4"/>
    </row>
    <row r="35" spans="2:7" ht="45" customHeight="1">
      <c r="B35" s="80">
        <v>4.3</v>
      </c>
      <c r="C35" s="3"/>
      <c r="D35" s="54" t="s">
        <v>78</v>
      </c>
      <c r="E35" s="55" t="s">
        <v>245</v>
      </c>
      <c r="F35" s="3" t="str">
        <f>VLOOKUP($D$7,'Source Data'!$A$2:$EU$28,26,FALSE)</f>
        <v>&gt; 0.125</v>
      </c>
      <c r="G35" s="4"/>
    </row>
    <row r="36" spans="2:7" ht="45" customHeight="1">
      <c r="B36" s="80">
        <v>4.3999999999999995</v>
      </c>
      <c r="C36" s="3"/>
      <c r="D36" s="54" t="s">
        <v>79</v>
      </c>
      <c r="E36" s="55"/>
      <c r="F36" s="3" t="str">
        <f>VLOOKUP($D$7,'Source Data'!$A$2:$EU$28,27,FALSE)</f>
        <v>xxxxxxxxxxx</v>
      </c>
      <c r="G36" s="4"/>
    </row>
    <row r="37" spans="2:7" ht="45" customHeight="1">
      <c r="B37" s="80">
        <v>4.5</v>
      </c>
      <c r="C37" s="3"/>
      <c r="D37" s="54" t="s">
        <v>80</v>
      </c>
      <c r="E37" s="55"/>
      <c r="F37" s="3" t="str">
        <f>VLOOKUP($D$7,'Source Data'!$A$2:$EU$28,28,FALSE)</f>
        <v>xxxxxxxxxxx</v>
      </c>
      <c r="G37" s="4"/>
    </row>
    <row r="38" spans="2:7" ht="45" customHeight="1">
      <c r="B38" s="80">
        <v>4.5999999999999996</v>
      </c>
      <c r="C38" s="3"/>
      <c r="D38" s="54" t="s">
        <v>81</v>
      </c>
      <c r="E38" s="55" t="s">
        <v>240</v>
      </c>
      <c r="F38" s="3">
        <f>VLOOKUP($D$7,'Source Data'!$A$2:$EU$28,29,FALSE)</f>
        <v>21</v>
      </c>
      <c r="G38" s="4"/>
    </row>
    <row r="39" spans="2:7" ht="45" customHeight="1">
      <c r="B39" s="80">
        <v>4.7</v>
      </c>
      <c r="C39" s="3"/>
      <c r="D39" s="54" t="s">
        <v>82</v>
      </c>
      <c r="E39" s="55" t="s">
        <v>240</v>
      </c>
      <c r="F39" s="3">
        <f>VLOOKUP($D$7,'Source Data'!$A$2:$EU$28,30,FALSE)</f>
        <v>8</v>
      </c>
      <c r="G39" s="4"/>
    </row>
    <row r="40" spans="2:7" ht="45" customHeight="1">
      <c r="B40" s="80">
        <v>4.8</v>
      </c>
      <c r="C40" s="3"/>
      <c r="D40" s="54" t="s">
        <v>246</v>
      </c>
      <c r="E40" s="55" t="s">
        <v>247</v>
      </c>
      <c r="F40" s="3" t="str">
        <f>VLOOKUP($D$7,'Source Data'!$A$2:$EU$28,31,FALSE)</f>
        <v>&lt;5</v>
      </c>
      <c r="G40" s="4"/>
    </row>
    <row r="41" spans="2:7" ht="45" customHeight="1">
      <c r="B41" s="81">
        <v>5</v>
      </c>
      <c r="C41" s="3" t="s">
        <v>248</v>
      </c>
      <c r="D41" s="56" t="s">
        <v>84</v>
      </c>
      <c r="E41" s="55"/>
      <c r="F41" s="3"/>
      <c r="G41" s="4"/>
    </row>
    <row r="42" spans="2:7" ht="45" customHeight="1">
      <c r="B42" s="80">
        <v>5.0999999999999996</v>
      </c>
      <c r="C42" s="3"/>
      <c r="D42" s="54" t="s">
        <v>85</v>
      </c>
      <c r="E42" s="55" t="s">
        <v>247</v>
      </c>
      <c r="F42" s="3" t="str">
        <f>VLOOKUP($D$7,'Source Data'!$A$2:$EU$28,33,FALSE)</f>
        <v>&lt; 5</v>
      </c>
      <c r="G42" s="4"/>
    </row>
    <row r="43" spans="2:7" ht="45" customHeight="1">
      <c r="B43" s="80">
        <v>5.1999999999999993</v>
      </c>
      <c r="C43" s="3"/>
      <c r="D43" s="54" t="s">
        <v>86</v>
      </c>
      <c r="E43" s="55" t="s">
        <v>247</v>
      </c>
      <c r="F43" s="3" t="str">
        <f>VLOOKUP($D$7,'Source Data'!$A$2:$EU$28,34,FALSE)</f>
        <v xml:space="preserve">&lt; 5 </v>
      </c>
      <c r="G43" s="4"/>
    </row>
    <row r="44" spans="2:7" ht="45" customHeight="1">
      <c r="B44" s="80">
        <v>5.3</v>
      </c>
      <c r="C44" s="3"/>
      <c r="D44" s="54" t="s">
        <v>87</v>
      </c>
      <c r="E44" s="55"/>
      <c r="F44" s="3" t="str">
        <f>VLOOKUP($D$7,'Source Data'!$A$2:$EU$28,35,FALSE)</f>
        <v>xxxxxxxxxxx</v>
      </c>
      <c r="G44" s="4"/>
    </row>
    <row r="45" spans="2:7" ht="45" customHeight="1">
      <c r="B45" s="80">
        <v>5.3999999999999995</v>
      </c>
      <c r="C45" s="3"/>
      <c r="D45" s="54" t="s">
        <v>88</v>
      </c>
      <c r="E45" s="55"/>
      <c r="F45" s="3" t="str">
        <f>VLOOKUP($D$7,'Source Data'!$A$2:$EU$28,36,FALSE)</f>
        <v>xxxxxxxxxxx</v>
      </c>
      <c r="G45" s="4"/>
    </row>
    <row r="46" spans="2:7" ht="27" customHeight="1">
      <c r="B46" s="81">
        <v>6</v>
      </c>
      <c r="C46" s="3" t="s">
        <v>249</v>
      </c>
      <c r="D46" s="56" t="s">
        <v>89</v>
      </c>
      <c r="E46" s="55"/>
      <c r="F46" s="3"/>
      <c r="G46" s="4"/>
    </row>
    <row r="47" spans="2:7" ht="45" customHeight="1">
      <c r="B47" s="80">
        <v>6.1</v>
      </c>
      <c r="C47" s="3"/>
      <c r="D47" s="54" t="s">
        <v>90</v>
      </c>
      <c r="E47" s="55"/>
      <c r="F47" s="3" t="str">
        <f>VLOOKUP($D$7,'Source Data'!$A$2:$EU$28,38,FALSE)</f>
        <v>xxxxxxxxxxx</v>
      </c>
      <c r="G47" s="4" t="s">
        <v>178</v>
      </c>
    </row>
    <row r="48" spans="2:7" ht="31.15" customHeight="1">
      <c r="B48" s="81">
        <v>7</v>
      </c>
      <c r="C48" s="3" t="s">
        <v>250</v>
      </c>
      <c r="D48" s="56" t="s">
        <v>100</v>
      </c>
      <c r="E48" s="55"/>
      <c r="F48" s="3"/>
      <c r="G48" s="4"/>
    </row>
    <row r="49" spans="2:7" ht="45" customHeight="1">
      <c r="B49" s="80">
        <v>7.1</v>
      </c>
      <c r="C49" s="3"/>
      <c r="D49" s="54" t="s">
        <v>93</v>
      </c>
      <c r="E49" s="55"/>
      <c r="F49" s="3" t="str">
        <f>VLOOKUP($D$7,'Source Data'!$A$2:$EU$28,49,FALSE)</f>
        <v>xxxxxxxxxxx</v>
      </c>
      <c r="G49" s="4"/>
    </row>
    <row r="50" spans="2:7" ht="45" customHeight="1">
      <c r="B50" s="80">
        <v>7.2</v>
      </c>
      <c r="C50" s="3"/>
      <c r="D50" s="54" t="s">
        <v>94</v>
      </c>
      <c r="E50" s="55"/>
      <c r="F50" s="3" t="str">
        <f>VLOOKUP($D$7,'Source Data'!$A$2:$EU$28,50,FALSE)</f>
        <v>xxxxxxxxxxx</v>
      </c>
      <c r="G50" s="4"/>
    </row>
    <row r="51" spans="2:7" ht="45" customHeight="1">
      <c r="B51" s="80">
        <v>7.3</v>
      </c>
      <c r="C51" s="3"/>
      <c r="D51" s="54" t="s">
        <v>95</v>
      </c>
      <c r="E51" s="55"/>
      <c r="F51" s="3" t="str">
        <f>VLOOKUP($D$7,'Source Data'!$A$2:$EU$28,51,FALSE)</f>
        <v>xxxxxxxxxxx</v>
      </c>
      <c r="G51" s="4"/>
    </row>
    <row r="52" spans="2:7" ht="45" customHeight="1">
      <c r="B52" s="80">
        <v>7.4</v>
      </c>
      <c r="C52" s="3"/>
      <c r="D52" s="54" t="s">
        <v>96</v>
      </c>
      <c r="E52" s="55" t="s">
        <v>251</v>
      </c>
      <c r="F52" s="3" t="str">
        <f>VLOOKUP($D$7,'Source Data'!$A$2:$EU$28,52,FALSE)</f>
        <v>≥ 31</v>
      </c>
      <c r="G52" s="4"/>
    </row>
    <row r="53" spans="2:7" ht="45" customHeight="1">
      <c r="B53" s="80">
        <v>7.5</v>
      </c>
      <c r="C53" s="3"/>
      <c r="D53" s="54" t="s">
        <v>97</v>
      </c>
      <c r="E53" s="55"/>
      <c r="F53" s="3" t="str">
        <f>VLOOKUP($D$7,'Source Data'!$A$2:$EU$28,53,FALSE)</f>
        <v>Base</v>
      </c>
      <c r="G53" s="4"/>
    </row>
    <row r="54" spans="2:7" ht="45" customHeight="1">
      <c r="B54" s="80">
        <v>7.6</v>
      </c>
      <c r="C54" s="3"/>
      <c r="D54" s="54" t="s">
        <v>98</v>
      </c>
      <c r="E54" s="55"/>
      <c r="F54" s="3" t="str">
        <f>VLOOKUP($D$7,'Source Data'!$A$2:$EU$28,54,FALSE)</f>
        <v>Draw lead</v>
      </c>
      <c r="G54" s="4"/>
    </row>
    <row r="55" spans="2:7" ht="45" customHeight="1">
      <c r="B55" s="80">
        <v>7.7</v>
      </c>
      <c r="C55" s="3"/>
      <c r="D55" s="54" t="s">
        <v>99</v>
      </c>
      <c r="E55" s="55"/>
      <c r="F55" s="3" t="str">
        <f>VLOOKUP($D$7,'Source Data'!$A$2:$EU$28,55,FALSE)</f>
        <v>M12</v>
      </c>
      <c r="G55" s="4"/>
    </row>
    <row r="56" spans="2:7" ht="45" customHeight="1">
      <c r="B56" s="80">
        <v>7.8</v>
      </c>
      <c r="C56" s="3" t="s">
        <v>250</v>
      </c>
      <c r="D56" s="56" t="s">
        <v>101</v>
      </c>
      <c r="E56" s="55"/>
      <c r="F56" s="3"/>
      <c r="G56" s="4"/>
    </row>
    <row r="57" spans="2:7" ht="45" customHeight="1">
      <c r="B57" s="80">
        <v>7.9</v>
      </c>
      <c r="C57" s="3"/>
      <c r="D57" s="2" t="s">
        <v>93</v>
      </c>
      <c r="E57" s="55"/>
      <c r="F57" s="3" t="str">
        <f>VLOOKUP($D$7,'Source Data'!$A$2:$EU$28,57,FALSE)</f>
        <v>xxxxxxxxxxx</v>
      </c>
      <c r="G57" s="4"/>
    </row>
    <row r="58" spans="2:7" ht="45" customHeight="1">
      <c r="B58" s="82" t="s">
        <v>252</v>
      </c>
      <c r="C58" s="3"/>
      <c r="D58" s="2" t="s">
        <v>94</v>
      </c>
      <c r="E58" s="55"/>
      <c r="F58" s="3" t="str">
        <f>VLOOKUP($D$7,'Source Data'!$A$2:$EU$28,58,FALSE)</f>
        <v>xxxxxxxxxxx</v>
      </c>
      <c r="G58" s="4"/>
    </row>
    <row r="59" spans="2:7" ht="45" customHeight="1">
      <c r="B59" s="82" t="s">
        <v>253</v>
      </c>
      <c r="C59" s="3"/>
      <c r="D59" s="2" t="s">
        <v>95</v>
      </c>
      <c r="E59" s="55"/>
      <c r="F59" s="3" t="str">
        <f>VLOOKUP($D$7,'Source Data'!$A$2:$EU$28,59,FALSE)</f>
        <v>xxxxxxxxxxx</v>
      </c>
      <c r="G59" s="4"/>
    </row>
    <row r="60" spans="2:7" ht="45" customHeight="1">
      <c r="B60" s="82" t="s">
        <v>254</v>
      </c>
      <c r="C60" s="3"/>
      <c r="D60" s="2" t="s">
        <v>96</v>
      </c>
      <c r="E60" s="55"/>
      <c r="F60" s="3" t="str">
        <f>VLOOKUP($D$7,'Source Data'!$A$2:$EU$28,60,FALSE)</f>
        <v>≥ 31</v>
      </c>
      <c r="G60" s="4"/>
    </row>
    <row r="61" spans="2:7" ht="45" customHeight="1">
      <c r="B61" s="82" t="s">
        <v>255</v>
      </c>
      <c r="C61" s="3"/>
      <c r="D61" s="2" t="s">
        <v>97</v>
      </c>
      <c r="E61" s="55"/>
      <c r="F61" s="3" t="str">
        <f>VLOOKUP($D$7,'Source Data'!$A$2:$EU$28,61,FALSE)</f>
        <v>Base</v>
      </c>
      <c r="G61" s="4"/>
    </row>
    <row r="62" spans="2:7" ht="45" customHeight="1">
      <c r="B62" s="82" t="s">
        <v>256</v>
      </c>
      <c r="C62" s="3"/>
      <c r="D62" s="2" t="s">
        <v>98</v>
      </c>
      <c r="E62" s="55"/>
      <c r="F62" s="3" t="str">
        <f>VLOOKUP($D$7,'Source Data'!$A$2:$EU$28,62,FALSE)</f>
        <v>Draw lead</v>
      </c>
      <c r="G62" s="4"/>
    </row>
    <row r="63" spans="2:7" ht="45" customHeight="1">
      <c r="B63" s="82" t="s">
        <v>257</v>
      </c>
      <c r="C63" s="3"/>
      <c r="D63" s="2" t="s">
        <v>99</v>
      </c>
      <c r="E63" s="55"/>
      <c r="F63" s="3" t="str">
        <f>VLOOKUP($D$7,'Source Data'!$A$2:$EU$28,63,FALSE)</f>
        <v>M12</v>
      </c>
      <c r="G63" s="4"/>
    </row>
    <row r="64" spans="2:7" ht="15.6">
      <c r="B64" s="81">
        <v>8</v>
      </c>
      <c r="C64" s="3" t="s">
        <v>250</v>
      </c>
      <c r="D64" s="56" t="s">
        <v>102</v>
      </c>
      <c r="E64" s="55"/>
      <c r="F64" s="3"/>
      <c r="G64" s="4"/>
    </row>
    <row r="65" spans="2:7" ht="45" customHeight="1">
      <c r="B65" s="80">
        <v>8.1</v>
      </c>
      <c r="C65" s="3"/>
      <c r="D65" s="54" t="s">
        <v>93</v>
      </c>
      <c r="E65" s="55"/>
      <c r="F65" s="3" t="str">
        <f>VLOOKUP($D$7,'Source Data'!$A$2:$EU$28,65,FALSE)</f>
        <v>xxxxxxxxxxx</v>
      </c>
      <c r="G65" s="4"/>
    </row>
    <row r="66" spans="2:7" ht="45" customHeight="1">
      <c r="B66" s="80">
        <v>8.1999999999999993</v>
      </c>
      <c r="C66" s="3"/>
      <c r="D66" s="54" t="s">
        <v>94</v>
      </c>
      <c r="E66" s="55"/>
      <c r="F66" s="3" t="str">
        <f>VLOOKUP($D$7,'Source Data'!$A$2:$EU$28,66,FALSE)</f>
        <v>xxxxxxxxxxx</v>
      </c>
      <c r="G66" s="4"/>
    </row>
    <row r="67" spans="2:7" ht="45" customHeight="1">
      <c r="B67" s="80">
        <v>8.3000000000000007</v>
      </c>
      <c r="C67" s="3"/>
      <c r="D67" s="54" t="s">
        <v>95</v>
      </c>
      <c r="E67" s="55"/>
      <c r="F67" s="3" t="str">
        <f>VLOOKUP($D$7,'Source Data'!$A$2:$EU$28,67,FALSE)</f>
        <v>xxxxxxxxxxx</v>
      </c>
      <c r="G67" s="4"/>
    </row>
    <row r="68" spans="2:7" ht="45" customHeight="1">
      <c r="B68" s="80">
        <v>8.4</v>
      </c>
      <c r="C68" s="3"/>
      <c r="D68" s="54" t="s">
        <v>99</v>
      </c>
      <c r="E68" s="55"/>
      <c r="F68" s="3" t="str">
        <f>VLOOKUP($D$7,'Source Data'!$A$2:$EU$28,68,FALSE)</f>
        <v>M12</v>
      </c>
      <c r="G68" s="4"/>
    </row>
    <row r="69" spans="2:7" ht="28.15" customHeight="1">
      <c r="B69" s="81">
        <v>9</v>
      </c>
      <c r="C69" s="3" t="s">
        <v>258</v>
      </c>
      <c r="D69" s="56" t="s">
        <v>105</v>
      </c>
      <c r="E69" s="55"/>
      <c r="F69" s="3"/>
      <c r="G69" s="4"/>
    </row>
    <row r="70" spans="2:7" ht="45" customHeight="1">
      <c r="B70" s="80">
        <v>9.1</v>
      </c>
      <c r="C70" s="3"/>
      <c r="D70" s="54" t="s">
        <v>106</v>
      </c>
      <c r="E70" s="55"/>
      <c r="F70" s="3" t="str">
        <f>VLOOKUP($D$7,'Source Data'!$A$2:$EU$28,72,FALSE)</f>
        <v>Distribution</v>
      </c>
      <c r="G70" s="4" t="s">
        <v>178</v>
      </c>
    </row>
    <row r="71" spans="2:7" ht="45" customHeight="1">
      <c r="B71" s="80">
        <v>9.1999999999999993</v>
      </c>
      <c r="C71" s="3"/>
      <c r="D71" s="54" t="s">
        <v>107</v>
      </c>
      <c r="E71" s="55" t="s">
        <v>259</v>
      </c>
      <c r="F71" s="3">
        <f>VLOOKUP($D$7,'Source Data'!$A$2:$EU$28,73,FALSE)</f>
        <v>80500</v>
      </c>
      <c r="G71" s="4" t="s">
        <v>178</v>
      </c>
    </row>
    <row r="72" spans="2:7" ht="45" customHeight="1">
      <c r="B72" s="80">
        <v>9.3000000000000007</v>
      </c>
      <c r="C72" s="3"/>
      <c r="D72" s="54" t="s">
        <v>108</v>
      </c>
      <c r="E72" s="55" t="s">
        <v>259</v>
      </c>
      <c r="F72" s="3">
        <f>VLOOKUP($D$7,'Source Data'!$A$2:$EU$28,74,FALSE)</f>
        <v>17500</v>
      </c>
      <c r="G72" s="4" t="s">
        <v>178</v>
      </c>
    </row>
    <row r="73" spans="2:7" ht="45" customHeight="1">
      <c r="B73" s="80">
        <v>9.4</v>
      </c>
      <c r="C73" s="3"/>
      <c r="D73" s="54" t="s">
        <v>260</v>
      </c>
      <c r="E73" s="55" t="s">
        <v>261</v>
      </c>
      <c r="F73" s="3">
        <f>VLOOKUP($D$7,'Source Data'!$A$2:$EU$28,75,FALSE)</f>
        <v>320</v>
      </c>
      <c r="G73" s="4"/>
    </row>
    <row r="74" spans="2:7" ht="45" customHeight="1">
      <c r="B74" s="80">
        <v>9.5</v>
      </c>
      <c r="C74" s="3"/>
      <c r="D74" s="54" t="s">
        <v>262</v>
      </c>
      <c r="E74" s="55" t="s">
        <v>261</v>
      </c>
      <c r="F74" s="3">
        <f>VLOOKUP($D$7,'Source Data'!$A$2:$EU$28,151,FALSE)</f>
        <v>120</v>
      </c>
      <c r="G74" s="4"/>
    </row>
    <row r="75" spans="2:7" ht="45" customHeight="1">
      <c r="B75" s="80">
        <v>9.6</v>
      </c>
      <c r="C75" s="3"/>
      <c r="D75" s="54" t="s">
        <v>263</v>
      </c>
      <c r="E75" s="55" t="s">
        <v>261</v>
      </c>
      <c r="F75" s="3">
        <f>VLOOKUP($D$7,'Source Data'!$A$2:$EU$28,76,FALSE)</f>
        <v>2600</v>
      </c>
      <c r="G75" s="4"/>
    </row>
    <row r="76" spans="2:7" ht="27" customHeight="1">
      <c r="B76" s="81">
        <v>10</v>
      </c>
      <c r="C76" s="3" t="s">
        <v>258</v>
      </c>
      <c r="D76" s="57" t="s">
        <v>111</v>
      </c>
      <c r="E76" s="55"/>
      <c r="F76" s="3"/>
      <c r="G76" s="4"/>
    </row>
    <row r="77" spans="2:7" ht="45" customHeight="1">
      <c r="B77" s="80">
        <v>10.1</v>
      </c>
      <c r="C77" s="3"/>
      <c r="D77" s="58" t="s">
        <v>112</v>
      </c>
      <c r="E77" s="55" t="s">
        <v>264</v>
      </c>
      <c r="F77" s="59" t="str">
        <f>VLOOKUP($D$7,'Source Data'!$A$2:$EU$28,78,FALSE)</f>
        <v>4,0 to 5,0</v>
      </c>
      <c r="G77" s="4"/>
    </row>
    <row r="78" spans="2:7" ht="45" customHeight="1">
      <c r="B78" s="80">
        <v>10.199999999999999</v>
      </c>
      <c r="C78" s="3"/>
      <c r="D78" s="58" t="s">
        <v>113</v>
      </c>
      <c r="E78" s="55"/>
      <c r="F78" s="59" t="str">
        <f>VLOOKUP($D$7,'Source Data'!$A$2:$EU$28,79,FALSE)</f>
        <v>xxxxxxxxxx</v>
      </c>
      <c r="G78" s="4"/>
    </row>
    <row r="79" spans="2:7" ht="27" customHeight="1">
      <c r="B79" s="81">
        <v>11</v>
      </c>
      <c r="C79" s="3"/>
      <c r="D79" s="117" t="s">
        <v>299</v>
      </c>
      <c r="E79" s="55"/>
      <c r="F79" s="3"/>
      <c r="G79" s="4"/>
    </row>
    <row r="80" spans="2:7" ht="45" customHeight="1">
      <c r="B80" s="80">
        <v>11.1</v>
      </c>
      <c r="C80" s="3"/>
      <c r="D80" s="54" t="s">
        <v>115</v>
      </c>
      <c r="E80" s="55" t="s">
        <v>266</v>
      </c>
      <c r="F80" s="59" t="str">
        <f>VLOOKUP($D$7,'Source Data'!$A$2:$EU$28,81,FALSE)</f>
        <v xml:space="preserve">≤ 48 </v>
      </c>
      <c r="G80" s="4"/>
    </row>
    <row r="81" spans="2:7" ht="22.15" customHeight="1">
      <c r="B81" s="81">
        <v>12</v>
      </c>
      <c r="C81" s="3"/>
      <c r="D81" s="56" t="s">
        <v>267</v>
      </c>
      <c r="E81" s="55"/>
      <c r="F81" s="3"/>
      <c r="G81" s="4"/>
    </row>
    <row r="82" spans="2:7" ht="45" customHeight="1">
      <c r="B82" s="80">
        <v>12.1</v>
      </c>
      <c r="C82" s="3"/>
      <c r="D82" s="54" t="s">
        <v>117</v>
      </c>
      <c r="E82" s="55"/>
      <c r="F82" s="59" t="str">
        <f>VLOOKUP($D$7,'Source Data'!$A$2:$EU$28,83,FALSE)</f>
        <v>xxxxxxxxxxx</v>
      </c>
      <c r="G82" s="4"/>
    </row>
    <row r="83" spans="2:7" ht="45" customHeight="1">
      <c r="B83" s="80">
        <v>12.2</v>
      </c>
      <c r="C83" s="3"/>
      <c r="D83" s="54" t="s">
        <v>118</v>
      </c>
      <c r="E83" s="55"/>
      <c r="F83" s="59" t="str">
        <f>VLOOKUP($D$7,'Source Data'!$A$2:$EU$28,84,FALSE)</f>
        <v>xxxxxxxxxxx</v>
      </c>
      <c r="G83" s="4"/>
    </row>
    <row r="84" spans="2:7" ht="21.6" customHeight="1">
      <c r="B84" s="81">
        <v>13</v>
      </c>
      <c r="C84" s="3"/>
      <c r="D84" s="56" t="s">
        <v>119</v>
      </c>
      <c r="E84" s="55"/>
      <c r="F84" s="3"/>
      <c r="G84" s="4"/>
    </row>
    <row r="85" spans="2:7" ht="45" customHeight="1">
      <c r="B85" s="80">
        <v>13.1</v>
      </c>
      <c r="C85" s="3"/>
      <c r="D85" s="54" t="s">
        <v>117</v>
      </c>
      <c r="E85" s="55"/>
      <c r="F85" s="59" t="str">
        <f>VLOOKUP($D$7,'Source Data'!$A$2:$EU$28,86,FALSE)</f>
        <v>xxxxxxxxxxx</v>
      </c>
      <c r="G85" s="4"/>
    </row>
    <row r="86" spans="2:7" ht="45" customHeight="1">
      <c r="B86" s="80">
        <v>13.2</v>
      </c>
      <c r="C86" s="3"/>
      <c r="D86" s="54" t="s">
        <v>118</v>
      </c>
      <c r="E86" s="55"/>
      <c r="F86" s="59" t="str">
        <f>VLOOKUP($D$7,'Source Data'!$A$2:$EU$28,87,FALSE)</f>
        <v>xxxxxxxxxxx</v>
      </c>
      <c r="G86" s="4"/>
    </row>
    <row r="87" spans="2:7" ht="24.6" customHeight="1">
      <c r="B87" s="81">
        <v>14</v>
      </c>
      <c r="C87" s="3"/>
      <c r="D87" s="56" t="s">
        <v>120</v>
      </c>
      <c r="E87" s="55"/>
      <c r="F87" s="3"/>
      <c r="G87" s="4"/>
    </row>
    <row r="88" spans="2:7" ht="45" customHeight="1">
      <c r="B88" s="80">
        <v>14.1</v>
      </c>
      <c r="C88" s="3"/>
      <c r="D88" s="54" t="s">
        <v>121</v>
      </c>
      <c r="E88" s="55"/>
      <c r="F88" s="59" t="str">
        <f>VLOOKUP($D$7,'Source Data'!$A$2:$EU$28,89,FALSE)</f>
        <v>Steel or Amporphous</v>
      </c>
      <c r="G88" s="4"/>
    </row>
    <row r="89" spans="2:7" ht="45" customHeight="1">
      <c r="B89" s="80">
        <v>14.2</v>
      </c>
      <c r="C89" s="3"/>
      <c r="D89" s="54" t="s">
        <v>122</v>
      </c>
      <c r="E89" s="55"/>
      <c r="F89" s="59" t="str">
        <f>VLOOKUP($D$7,'Source Data'!$A$2:$EU$28,90,FALSE)</f>
        <v>xxxxxxxxxxx</v>
      </c>
      <c r="G89" s="4"/>
    </row>
    <row r="90" spans="2:7" ht="45" customHeight="1">
      <c r="B90" s="80">
        <v>14.3</v>
      </c>
      <c r="C90" s="3"/>
      <c r="D90" s="54" t="s">
        <v>123</v>
      </c>
      <c r="E90" s="55"/>
      <c r="F90" s="59" t="str">
        <f>VLOOKUP($D$7,'Source Data'!$A$2:$EU$28,91,FALSE)</f>
        <v>xxxxxxxxxxx</v>
      </c>
      <c r="G90" s="4"/>
    </row>
    <row r="91" spans="2:7" ht="45" customHeight="1">
      <c r="B91" s="80">
        <v>14.4</v>
      </c>
      <c r="C91" s="3"/>
      <c r="D91" s="54" t="s">
        <v>124</v>
      </c>
      <c r="E91" s="55"/>
      <c r="F91" s="59" t="str">
        <f>VLOOKUP($D$7,'Source Data'!$A$2:$EU$28,92,FALSE)</f>
        <v>xxxxxxxxxxx</v>
      </c>
      <c r="G91" s="4"/>
    </row>
    <row r="92" spans="2:7" ht="23.45" customHeight="1">
      <c r="B92" s="81">
        <v>15</v>
      </c>
      <c r="C92" s="3" t="s">
        <v>268</v>
      </c>
      <c r="D92" s="57" t="s">
        <v>125</v>
      </c>
      <c r="E92" s="55"/>
      <c r="F92" s="59"/>
      <c r="G92" s="4"/>
    </row>
    <row r="93" spans="2:7" ht="45" customHeight="1">
      <c r="B93" s="80">
        <v>15.1</v>
      </c>
      <c r="C93" s="3"/>
      <c r="D93" s="54" t="s">
        <v>126</v>
      </c>
      <c r="E93" s="55"/>
      <c r="F93" s="59" t="str">
        <f>VLOOKUP($D$7,'Source Data'!$A$2:$EU$28,94,FALSE)</f>
        <v>Sealed</v>
      </c>
      <c r="G93" s="4"/>
    </row>
    <row r="94" spans="2:7" ht="45" customHeight="1">
      <c r="B94" s="80">
        <v>15.2</v>
      </c>
      <c r="C94" s="3"/>
      <c r="D94" s="54" t="s">
        <v>127</v>
      </c>
      <c r="E94" s="55"/>
      <c r="F94" s="59" t="str">
        <f>VLOOKUP($D$7,'Source Data'!$A$2:$EU$28,95,FALSE)</f>
        <v>xxxxxxxxxx</v>
      </c>
      <c r="G94" s="4"/>
    </row>
    <row r="95" spans="2:7" ht="21.6" customHeight="1">
      <c r="B95" s="81">
        <v>16</v>
      </c>
      <c r="C95" s="3" t="s">
        <v>269</v>
      </c>
      <c r="D95" s="56" t="s">
        <v>128</v>
      </c>
      <c r="E95" s="55"/>
      <c r="F95" s="59"/>
      <c r="G95" s="4"/>
    </row>
    <row r="96" spans="2:7" ht="40.15" customHeight="1">
      <c r="B96" s="80">
        <v>16.100000000000001</v>
      </c>
      <c r="C96" s="3" t="s">
        <v>270</v>
      </c>
      <c r="D96" s="54" t="s">
        <v>129</v>
      </c>
      <c r="E96" s="55" t="s">
        <v>245</v>
      </c>
      <c r="F96" s="59" t="str">
        <f>VLOOKUP($D$7,'Source Data'!$A$2:$EU$28,97,FALSE)</f>
        <v>xxxxxxxxxxx</v>
      </c>
      <c r="G96" s="4"/>
    </row>
    <row r="97" spans="2:7" ht="40.15" customHeight="1">
      <c r="B97" s="80">
        <v>16.2</v>
      </c>
      <c r="C97" s="3" t="s">
        <v>270</v>
      </c>
      <c r="D97" s="54" t="s">
        <v>130</v>
      </c>
      <c r="E97" s="55" t="s">
        <v>245</v>
      </c>
      <c r="F97" s="59" t="str">
        <f>VLOOKUP($D$7,'Source Data'!$A$2:$EU$28,98,FALSE)</f>
        <v xml:space="preserve">≤ 1 500 </v>
      </c>
      <c r="G97" s="4"/>
    </row>
    <row r="98" spans="2:7" ht="40.15" customHeight="1">
      <c r="B98" s="80">
        <v>16.3</v>
      </c>
      <c r="C98" s="3" t="s">
        <v>270</v>
      </c>
      <c r="D98" s="54" t="s">
        <v>131</v>
      </c>
      <c r="E98" s="55" t="s">
        <v>245</v>
      </c>
      <c r="F98" s="59" t="str">
        <f>VLOOKUP($D$7,'Source Data'!$A$2:$EU$28,99,FALSE)</f>
        <v>≤ 2000</v>
      </c>
      <c r="G98" s="4"/>
    </row>
    <row r="99" spans="2:7" ht="40.15" customHeight="1">
      <c r="B99" s="80">
        <v>16.399999999999999</v>
      </c>
      <c r="C99" s="3" t="s">
        <v>270</v>
      </c>
      <c r="D99" s="54" t="s">
        <v>132</v>
      </c>
      <c r="E99" s="55" t="s">
        <v>271</v>
      </c>
      <c r="F99" s="3" t="str">
        <f>VLOOKUP($D$7,'Source Data'!$A$2:$EU$28,100,FALSE)</f>
        <v>≤ 1700</v>
      </c>
      <c r="G99" s="4"/>
    </row>
    <row r="100" spans="2:7" ht="40.15" customHeight="1">
      <c r="B100" s="80">
        <v>16.5</v>
      </c>
      <c r="C100" s="3"/>
      <c r="D100" s="54" t="s">
        <v>133</v>
      </c>
      <c r="E100" s="55" t="s">
        <v>272</v>
      </c>
      <c r="F100" s="3" t="str">
        <f>VLOOKUP($D$7,'Source Data'!$A$2:$EU$28,101,FALSE)</f>
        <v>xxxxxxxxxxx</v>
      </c>
      <c r="G100" s="4"/>
    </row>
    <row r="101" spans="2:7" ht="40.15" customHeight="1">
      <c r="B101" s="80">
        <v>16.600000000000001</v>
      </c>
      <c r="C101" s="3"/>
      <c r="D101" s="54" t="s">
        <v>134</v>
      </c>
      <c r="E101" s="55" t="s">
        <v>245</v>
      </c>
      <c r="F101" s="3">
        <f>VLOOKUP($D$7,'Source Data'!$A$2:$EU$28,102,FALSE)</f>
        <v>400</v>
      </c>
      <c r="G101" s="4"/>
    </row>
    <row r="102" spans="2:7" ht="45" customHeight="1">
      <c r="B102" s="80">
        <v>16.7</v>
      </c>
      <c r="C102" s="3" t="s">
        <v>273</v>
      </c>
      <c r="D102" s="54" t="s">
        <v>135</v>
      </c>
      <c r="E102" s="55" t="s">
        <v>245</v>
      </c>
      <c r="F102" s="3">
        <f>VLOOKUP($D$7,'Source Data'!$A$2:$EU$28,103,FALSE)</f>
        <v>100</v>
      </c>
      <c r="G102" s="4"/>
    </row>
    <row r="103" spans="2:7" ht="25.9" customHeight="1">
      <c r="B103" s="81">
        <v>17</v>
      </c>
      <c r="C103" s="3" t="s">
        <v>273</v>
      </c>
      <c r="D103" s="56" t="s">
        <v>136</v>
      </c>
      <c r="E103" s="55"/>
      <c r="F103" s="3"/>
      <c r="G103" s="4"/>
    </row>
    <row r="104" spans="2:7" ht="45" customHeight="1">
      <c r="B104" s="80">
        <v>17.100000000000001</v>
      </c>
      <c r="C104" s="3"/>
      <c r="D104" s="54" t="s">
        <v>137</v>
      </c>
      <c r="E104" s="55"/>
      <c r="F104" s="3" t="str">
        <f>VLOOKUP($D$7,'Source Data'!$A$2:$EU$28,105,FALSE)</f>
        <v>No</v>
      </c>
      <c r="G104" s="4" t="s">
        <v>178</v>
      </c>
    </row>
    <row r="105" spans="2:7" ht="45" customHeight="1">
      <c r="B105" s="80" t="s">
        <v>274</v>
      </c>
      <c r="C105" s="83"/>
      <c r="D105" s="54" t="s">
        <v>138</v>
      </c>
      <c r="E105" s="55"/>
      <c r="F105" s="3" t="str">
        <f>VLOOKUP($D$7,'Source Data'!$A$2:$EU$28,106,FALSE)</f>
        <v>N/A</v>
      </c>
      <c r="G105" s="4" t="s">
        <v>178</v>
      </c>
    </row>
    <row r="106" spans="2:7" ht="45" customHeight="1">
      <c r="B106" s="80" t="s">
        <v>275</v>
      </c>
      <c r="C106" s="83"/>
      <c r="D106" s="58" t="s">
        <v>139</v>
      </c>
      <c r="E106" s="55"/>
      <c r="F106" s="3" t="str">
        <f>VLOOKUP($D$7,'Source Data'!$A$2:$EU$28,107,FALSE)</f>
        <v>N/A</v>
      </c>
      <c r="G106" s="4" t="s">
        <v>178</v>
      </c>
    </row>
    <row r="107" spans="2:7" ht="45" customHeight="1">
      <c r="B107" s="80" t="s">
        <v>276</v>
      </c>
      <c r="C107" s="83"/>
      <c r="D107" s="58" t="s">
        <v>140</v>
      </c>
      <c r="E107" s="55"/>
      <c r="F107" s="3" t="str">
        <f>VLOOKUP($D$7,'Source Data'!$A$2:$EU$28,108,FALSE)</f>
        <v>N/A</v>
      </c>
      <c r="G107" s="4" t="s">
        <v>178</v>
      </c>
    </row>
    <row r="108" spans="2:7" ht="45" customHeight="1">
      <c r="B108" s="80" t="s">
        <v>277</v>
      </c>
      <c r="C108" s="83"/>
      <c r="D108" s="58" t="s">
        <v>141</v>
      </c>
      <c r="E108" s="55"/>
      <c r="F108" s="3" t="str">
        <f>VLOOKUP($D$7,'Source Data'!$A$2:$EU$28,109,FALSE)</f>
        <v>N/A</v>
      </c>
      <c r="G108" s="4"/>
    </row>
    <row r="109" spans="2:7" ht="45" customHeight="1">
      <c r="B109" s="80">
        <v>17.2</v>
      </c>
      <c r="C109" s="3"/>
      <c r="D109" s="54" t="s">
        <v>142</v>
      </c>
      <c r="E109" s="55" t="s">
        <v>245</v>
      </c>
      <c r="F109" s="3" t="str">
        <f>VLOOKUP($D$7,'Source Data'!$A$2:$EU$28,110,FALSE)</f>
        <v>N/A</v>
      </c>
      <c r="G109" s="4" t="s">
        <v>178</v>
      </c>
    </row>
    <row r="110" spans="2:7" ht="45" customHeight="1">
      <c r="B110" s="80">
        <v>17.3</v>
      </c>
      <c r="C110" s="3"/>
      <c r="D110" s="54" t="s">
        <v>143</v>
      </c>
      <c r="E110" s="55" t="s">
        <v>245</v>
      </c>
      <c r="F110" s="3" t="str">
        <f>VLOOKUP($D$7,'Source Data'!$A$2:$EU$28,111,FALSE)</f>
        <v>N/A</v>
      </c>
      <c r="G110" s="4" t="s">
        <v>178</v>
      </c>
    </row>
    <row r="111" spans="2:7" ht="45" customHeight="1">
      <c r="B111" s="80">
        <v>17.399999999999999</v>
      </c>
      <c r="C111" s="3"/>
      <c r="D111" s="54" t="s">
        <v>144</v>
      </c>
      <c r="E111" s="55" t="s">
        <v>245</v>
      </c>
      <c r="F111" s="3" t="str">
        <f>VLOOKUP($D$7,'Source Data'!$A$2:$EU$28,112,FALSE)</f>
        <v>N/A</v>
      </c>
      <c r="G111" s="4" t="s">
        <v>178</v>
      </c>
    </row>
    <row r="112" spans="2:7" ht="45" customHeight="1">
      <c r="B112" s="80">
        <v>17.5</v>
      </c>
      <c r="C112" s="3"/>
      <c r="D112" s="54" t="s">
        <v>145</v>
      </c>
      <c r="E112" s="55" t="s">
        <v>245</v>
      </c>
      <c r="F112" s="3" t="str">
        <f>VLOOKUP($D$7,'Source Data'!$A$2:$EU$28,113,FALSE)</f>
        <v>N/A</v>
      </c>
      <c r="G112" s="4" t="s">
        <v>178</v>
      </c>
    </row>
    <row r="113" spans="2:7" ht="45" customHeight="1">
      <c r="B113" s="80">
        <v>17.600000000000001</v>
      </c>
      <c r="C113" s="3"/>
      <c r="D113" s="54" t="s">
        <v>146</v>
      </c>
      <c r="E113" s="55" t="s">
        <v>245</v>
      </c>
      <c r="F113" s="3" t="str">
        <f>VLOOKUP($D$7,'Source Data'!$A$2:$EU$28,114,FALSE)</f>
        <v>N/A</v>
      </c>
      <c r="G113" s="4" t="s">
        <v>178</v>
      </c>
    </row>
    <row r="114" spans="2:7" ht="45" customHeight="1">
      <c r="B114" s="81">
        <v>18</v>
      </c>
      <c r="C114" s="3" t="s">
        <v>278</v>
      </c>
      <c r="D114" s="56" t="s">
        <v>147</v>
      </c>
      <c r="E114" s="55"/>
      <c r="F114" s="3"/>
      <c r="G114" s="4"/>
    </row>
    <row r="115" spans="2:7" ht="45" customHeight="1">
      <c r="B115" s="80">
        <v>18.100000000000001</v>
      </c>
      <c r="C115" s="3"/>
      <c r="D115" s="54" t="s">
        <v>148</v>
      </c>
      <c r="E115" s="55"/>
      <c r="F115" s="3" t="str">
        <f>VLOOKUP($D$7,'Source Data'!$A$2:$EU$28,116,FALSE)</f>
        <v>Yes</v>
      </c>
      <c r="G115" s="4" t="s">
        <v>178</v>
      </c>
    </row>
    <row r="116" spans="2:7" ht="45" customHeight="1">
      <c r="B116" s="80">
        <v>18.2</v>
      </c>
      <c r="C116" s="3" t="s">
        <v>279</v>
      </c>
      <c r="D116" s="54" t="s">
        <v>149</v>
      </c>
      <c r="E116" s="55" t="s">
        <v>245</v>
      </c>
      <c r="F116" s="3">
        <f>VLOOKUP($D$7,'Source Data'!$A$2:$EU$28,117,FALSE)</f>
        <v>400</v>
      </c>
      <c r="G116" s="4"/>
    </row>
    <row r="117" spans="2:7" ht="45" customHeight="1">
      <c r="B117" s="80">
        <v>18.3</v>
      </c>
      <c r="C117" s="3" t="s">
        <v>279</v>
      </c>
      <c r="D117" s="54" t="s">
        <v>150</v>
      </c>
      <c r="E117" s="55" t="s">
        <v>245</v>
      </c>
      <c r="F117" s="3" t="str">
        <f>VLOOKUP($D$7,'Source Data'!$A$2:$EU$28,118,FALSE)</f>
        <v>xxxxxxxxxxx</v>
      </c>
      <c r="G117" s="4"/>
    </row>
    <row r="118" spans="2:7" ht="45" customHeight="1">
      <c r="B118" s="80">
        <v>18.399999999999999</v>
      </c>
      <c r="C118" s="3" t="s">
        <v>279</v>
      </c>
      <c r="D118" s="54" t="s">
        <v>151</v>
      </c>
      <c r="E118" s="55" t="s">
        <v>245</v>
      </c>
      <c r="F118" s="3" t="str">
        <f>VLOOKUP($D$7,'Source Data'!$A$2:$EU$28,119,FALSE)</f>
        <v>≥ 320</v>
      </c>
      <c r="G118" s="4"/>
    </row>
    <row r="119" spans="2:7" ht="45" customHeight="1">
      <c r="B119" s="80">
        <v>18.5</v>
      </c>
      <c r="C119" s="3" t="s">
        <v>279</v>
      </c>
      <c r="D119" s="54" t="s">
        <v>152</v>
      </c>
      <c r="E119" s="55" t="s">
        <v>245</v>
      </c>
      <c r="F119" s="3" t="str">
        <f>VLOOKUP($D$7,'Source Data'!$A$2:$EU$28,110,FALSE)</f>
        <v>N/A</v>
      </c>
      <c r="G119" s="4"/>
    </row>
    <row r="120" spans="2:7" ht="45" customHeight="1">
      <c r="B120" s="80">
        <v>18.600000000000001</v>
      </c>
      <c r="C120" s="3" t="s">
        <v>279</v>
      </c>
      <c r="D120" s="54" t="s">
        <v>145</v>
      </c>
      <c r="E120" s="55" t="s">
        <v>245</v>
      </c>
      <c r="F120" s="3" t="str">
        <f>VLOOKUP($D$7,'Source Data'!$A$2:$EU$28,111,FALSE)</f>
        <v>N/A</v>
      </c>
      <c r="G120" s="4"/>
    </row>
    <row r="121" spans="2:7" ht="45" customHeight="1">
      <c r="B121" s="81">
        <v>19</v>
      </c>
      <c r="C121" s="3" t="s">
        <v>280</v>
      </c>
      <c r="D121" s="56" t="s">
        <v>153</v>
      </c>
      <c r="E121" s="55"/>
      <c r="F121" s="3"/>
      <c r="G121" s="4"/>
    </row>
    <row r="122" spans="2:7" ht="45" customHeight="1">
      <c r="B122" s="80">
        <v>19.100000000000001</v>
      </c>
      <c r="C122" s="3"/>
      <c r="D122" s="54" t="s">
        <v>154</v>
      </c>
      <c r="E122" s="55"/>
      <c r="F122" s="3" t="str">
        <f>VLOOKUP($D$7,'Source Data'!$A$2:$EU$28,123,FALSE)</f>
        <v>Yes</v>
      </c>
      <c r="G122" s="4"/>
    </row>
    <row r="123" spans="2:7" ht="45" customHeight="1">
      <c r="B123" s="80">
        <v>19.2</v>
      </c>
      <c r="C123" s="3"/>
      <c r="D123" s="54" t="s">
        <v>155</v>
      </c>
      <c r="E123" s="55" t="s">
        <v>245</v>
      </c>
      <c r="F123" s="3" t="str">
        <f>VLOOKUP($D$7,'Source Data'!$A$2:$EU$28,124,FALSE)</f>
        <v xml:space="preserve">≥ 30 </v>
      </c>
      <c r="G123" s="4"/>
    </row>
    <row r="124" spans="2:7" ht="45" customHeight="1">
      <c r="B124" s="81">
        <v>20</v>
      </c>
      <c r="C124" s="3" t="s">
        <v>281</v>
      </c>
      <c r="D124" s="56" t="s">
        <v>156</v>
      </c>
      <c r="E124" s="55"/>
      <c r="F124" s="3"/>
      <c r="G124" s="4"/>
    </row>
    <row r="125" spans="2:7" ht="45" customHeight="1">
      <c r="B125" s="80">
        <v>20.100000000000001</v>
      </c>
      <c r="C125" s="3"/>
      <c r="D125" s="54" t="s">
        <v>157</v>
      </c>
      <c r="E125" s="55"/>
      <c r="F125" s="3" t="str">
        <f>VLOOKUP($D$7,'Source Data'!$A$2:$EU$28,126,FALSE)</f>
        <v>316 Stainless Steel or Mild Steel</v>
      </c>
      <c r="G125" s="4"/>
    </row>
    <row r="126" spans="2:7" ht="45" customHeight="1">
      <c r="B126" s="80">
        <v>20.2</v>
      </c>
      <c r="C126" s="3"/>
      <c r="D126" s="54" t="s">
        <v>158</v>
      </c>
      <c r="E126" s="55" t="s">
        <v>245</v>
      </c>
      <c r="F126" s="3" t="str">
        <f>VLOOKUP($D$7,'Source Data'!$A$2:$EU$28,127,FALSE)</f>
        <v>≥ 30</v>
      </c>
      <c r="G126" s="4"/>
    </row>
    <row r="127" spans="2:7" ht="45" customHeight="1">
      <c r="B127" s="80">
        <v>20.3</v>
      </c>
      <c r="C127" s="3"/>
      <c r="D127" s="54" t="s">
        <v>159</v>
      </c>
      <c r="E127" s="55"/>
      <c r="F127" s="3" t="str">
        <f>VLOOKUP($D$7,'Source Data'!$A$2:$EU$28,128,FALSE)</f>
        <v>316 Stainless Steel or Mild Steel</v>
      </c>
      <c r="G127" s="4"/>
    </row>
    <row r="128" spans="2:7" ht="45" customHeight="1">
      <c r="B128" s="80">
        <v>20.399999999999999</v>
      </c>
      <c r="C128" s="3"/>
      <c r="D128" s="54" t="s">
        <v>160</v>
      </c>
      <c r="E128" s="55" t="s">
        <v>245</v>
      </c>
      <c r="F128" s="3" t="str">
        <f>VLOOKUP($D$7,'Source Data'!$A$2:$EU$28,129,FALSE)</f>
        <v xml:space="preserve">M12 x 25 </v>
      </c>
      <c r="G128" s="4"/>
    </row>
    <row r="129" spans="2:7" ht="45" customHeight="1">
      <c r="B129" s="80">
        <v>20.5</v>
      </c>
      <c r="C129" s="3"/>
      <c r="D129" s="54" t="s">
        <v>161</v>
      </c>
      <c r="E129" s="55"/>
      <c r="F129" s="3" t="str">
        <f>VLOOKUP($D$7,'Source Data'!$A$2:$EU$28,130,FALSE)</f>
        <v>Yes</v>
      </c>
      <c r="G129" s="4"/>
    </row>
    <row r="130" spans="2:7" ht="45" customHeight="1">
      <c r="B130" s="81">
        <v>21</v>
      </c>
      <c r="C130" s="3" t="s">
        <v>282</v>
      </c>
      <c r="D130" s="56" t="s">
        <v>162</v>
      </c>
      <c r="E130" s="55"/>
      <c r="F130" s="3"/>
      <c r="G130" s="4"/>
    </row>
    <row r="131" spans="2:7" ht="45" customHeight="1">
      <c r="B131" s="80">
        <v>21.1</v>
      </c>
      <c r="C131" s="3"/>
      <c r="D131" s="54" t="s">
        <v>163</v>
      </c>
      <c r="E131" s="55"/>
      <c r="F131" s="3" t="str">
        <f>VLOOKUP($D$7,'Source Data'!$A$2:$EU$28,132,FALSE)</f>
        <v>Yes</v>
      </c>
      <c r="G131" s="4"/>
    </row>
    <row r="132" spans="2:7" ht="45" customHeight="1">
      <c r="B132" s="80">
        <v>21.2</v>
      </c>
      <c r="C132" s="3" t="s">
        <v>283</v>
      </c>
      <c r="D132" s="54" t="s">
        <v>145</v>
      </c>
      <c r="E132" s="55" t="s">
        <v>245</v>
      </c>
      <c r="F132" s="3">
        <f>VLOOKUP($D$7,'Source Data'!$A$2:$EU$28,133,FALSE)</f>
        <v>14</v>
      </c>
      <c r="G132" s="4"/>
    </row>
    <row r="133" spans="2:7" ht="45" customHeight="1">
      <c r="B133" s="80">
        <v>21.3</v>
      </c>
      <c r="C133" s="3" t="s">
        <v>283</v>
      </c>
      <c r="D133" s="54" t="s">
        <v>164</v>
      </c>
      <c r="E133" s="55" t="s">
        <v>245</v>
      </c>
      <c r="F133" s="3" t="str">
        <f>VLOOKUP($D$7,'Source Data'!$A$2:$EU$28,134,FALSE)</f>
        <v>≥ 200</v>
      </c>
      <c r="G133" s="4"/>
    </row>
    <row r="134" spans="2:7" ht="45" customHeight="1">
      <c r="B134" s="80">
        <v>21.4</v>
      </c>
      <c r="C134" s="3" t="s">
        <v>283</v>
      </c>
      <c r="D134" s="54" t="s">
        <v>165</v>
      </c>
      <c r="E134" s="55" t="s">
        <v>245</v>
      </c>
      <c r="F134" s="3" t="str">
        <f>VLOOKUP($D$7,'Source Data'!$A$2:$EU$28,135,FALSE)</f>
        <v xml:space="preserve">≥ 400 </v>
      </c>
      <c r="G134" s="4"/>
    </row>
    <row r="135" spans="2:7" ht="45" customHeight="1">
      <c r="B135" s="80">
        <v>21.5</v>
      </c>
      <c r="C135" s="3" t="s">
        <v>283</v>
      </c>
      <c r="D135" s="54" t="s">
        <v>166</v>
      </c>
      <c r="E135" s="55" t="s">
        <v>245</v>
      </c>
      <c r="F135" s="3" t="str">
        <f>VLOOKUP($D$7,'Source Data'!$A$2:$EU$28,136,FALSE)</f>
        <v>≥ 150</v>
      </c>
      <c r="G135" s="4"/>
    </row>
    <row r="136" spans="2:7" ht="45" customHeight="1">
      <c r="B136" s="81">
        <v>22</v>
      </c>
      <c r="C136" s="60">
        <v>3.4</v>
      </c>
      <c r="D136" s="61" t="s">
        <v>173</v>
      </c>
      <c r="E136" s="62"/>
      <c r="F136" s="60"/>
      <c r="G136" s="63"/>
    </row>
    <row r="137" spans="2:7" ht="45" customHeight="1">
      <c r="B137" s="80">
        <v>22.1</v>
      </c>
      <c r="C137" s="3"/>
      <c r="D137" s="64" t="s">
        <v>174</v>
      </c>
      <c r="E137" s="55"/>
      <c r="F137" s="3"/>
      <c r="G137" s="4"/>
    </row>
    <row r="138" spans="2:7" ht="45" customHeight="1">
      <c r="B138" s="80">
        <v>22.2</v>
      </c>
      <c r="C138" s="3"/>
      <c r="D138" s="64" t="s">
        <v>169</v>
      </c>
      <c r="E138" s="55"/>
      <c r="F138" s="3" t="str">
        <f>VLOOKUP($D$7,'Source Data'!$A$2:$EU$28,145,FALSE)</f>
        <v>xxxxxxxxxxx</v>
      </c>
      <c r="G138" s="4"/>
    </row>
    <row r="139" spans="2:7" ht="45" customHeight="1">
      <c r="B139" s="80">
        <v>22.3</v>
      </c>
      <c r="C139" s="3"/>
      <c r="D139" s="64" t="s">
        <v>170</v>
      </c>
      <c r="E139" s="55"/>
      <c r="F139" s="3" t="str">
        <f>VLOOKUP($D$7,'Source Data'!$A$2:$EU$28,146,FALSE)</f>
        <v>xxxxxxxxxxx</v>
      </c>
      <c r="G139" s="4"/>
    </row>
    <row r="140" spans="2:7" ht="45" customHeight="1">
      <c r="B140" s="80">
        <v>22.4</v>
      </c>
      <c r="C140" s="84"/>
      <c r="D140" s="64" t="s">
        <v>171</v>
      </c>
      <c r="E140" s="65"/>
      <c r="F140" s="3" t="str">
        <f>VLOOKUP($D$7,'Source Data'!$A$2:$EU$28,147,FALSE)</f>
        <v>xxxxxxxxxxx</v>
      </c>
      <c r="G140" s="66"/>
    </row>
    <row r="141" spans="2:7" ht="45" customHeight="1">
      <c r="B141" s="80">
        <v>22.5</v>
      </c>
      <c r="C141" s="84"/>
      <c r="D141" s="64" t="s">
        <v>172</v>
      </c>
      <c r="E141" s="65"/>
      <c r="F141" s="3" t="str">
        <f>VLOOKUP($D$7,'Source Data'!$A$2:$EU$28,148,FALSE)</f>
        <v>Azure Blue</v>
      </c>
      <c r="G141" s="66"/>
    </row>
    <row r="142" spans="2:7" ht="151.15">
      <c r="B142" s="85">
        <v>23</v>
      </c>
      <c r="C142" s="84">
        <v>4.2</v>
      </c>
      <c r="D142" s="61" t="s">
        <v>284</v>
      </c>
      <c r="E142" s="65"/>
      <c r="F142" s="3" t="str">
        <f>VLOOKUP($D$7,'Source Data'!$A$2:$EU$28,149,FALSE)</f>
        <v>Report Numbers</v>
      </c>
      <c r="G142" s="66"/>
    </row>
    <row r="143" spans="2:7" ht="241.9" thickBot="1">
      <c r="B143" s="86">
        <v>24</v>
      </c>
      <c r="C143" s="67">
        <v>4.3</v>
      </c>
      <c r="D143" s="68" t="s">
        <v>285</v>
      </c>
      <c r="E143" s="69"/>
      <c r="F143" s="67" t="str">
        <f>VLOOKUP($D$7,'Source Data'!$A$2:$EU$28,150,FALSE)</f>
        <v>Report Numbers</v>
      </c>
      <c r="G143" s="70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&amp;CSWER Isolation, 200kVA 33kV/ 19kV* (Coastal, Ester Oil Only)</oddHeader>
  </headerFooter>
  <rowBreaks count="4" manualBreakCount="4">
    <brk id="37" min="1" max="6" man="1"/>
    <brk id="68" min="1" max="6" man="1"/>
    <brk id="102" min="1" max="6" man="1"/>
    <brk id="123" min="1" max="6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C6CDC-CF25-4292-9142-04090FC0ACBD}">
  <sheetPr>
    <pageSetUpPr fitToPage="1"/>
  </sheetPr>
  <dimension ref="B1:G143"/>
  <sheetViews>
    <sheetView topLeftCell="A77" zoomScale="85" zoomScaleNormal="85" zoomScaleSheetLayoutView="70" workbookViewId="0">
      <selection activeCell="D79" sqref="D79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28" bestFit="1" customWidth="1"/>
    <col min="6" max="6" width="22.85546875" customWidth="1"/>
    <col min="7" max="7" width="30.85546875" customWidth="1"/>
  </cols>
  <sheetData>
    <row r="1" spans="2:7" ht="15" thickBot="1"/>
    <row r="2" spans="2:7">
      <c r="B2" s="29"/>
      <c r="C2" s="30"/>
      <c r="D2" s="30"/>
      <c r="E2" s="31"/>
      <c r="F2" s="30"/>
      <c r="G2" s="32"/>
    </row>
    <row r="3" spans="2:7">
      <c r="B3" s="33"/>
      <c r="C3" s="34"/>
      <c r="D3" s="34"/>
      <c r="E3" s="35"/>
      <c r="F3" s="91" t="s">
        <v>226</v>
      </c>
      <c r="G3" s="92"/>
    </row>
    <row r="4" spans="2:7">
      <c r="B4" s="33"/>
      <c r="C4" s="34"/>
      <c r="D4" s="34"/>
      <c r="E4" s="35"/>
      <c r="F4" s="91" t="str">
        <f>'List of Items &amp; Enquiry number'!B14</f>
        <v>Enquiry Number: 123456XYZ</v>
      </c>
      <c r="G4" s="92"/>
    </row>
    <row r="5" spans="2:7">
      <c r="B5" s="33"/>
      <c r="C5" s="34"/>
      <c r="D5" s="34"/>
      <c r="E5" s="35"/>
      <c r="F5" s="34"/>
      <c r="G5" s="36"/>
    </row>
    <row r="6" spans="2:7" ht="28.9">
      <c r="B6" s="37"/>
      <c r="C6" s="38"/>
      <c r="D6" s="39" t="s">
        <v>227</v>
      </c>
      <c r="E6" s="40"/>
      <c r="F6" s="41"/>
      <c r="G6" s="42"/>
    </row>
    <row r="7" spans="2:7">
      <c r="B7" s="33"/>
      <c r="C7" s="34"/>
      <c r="D7" s="43" t="s">
        <v>46</v>
      </c>
      <c r="E7" s="35"/>
      <c r="F7" s="34"/>
      <c r="G7" s="36"/>
    </row>
    <row r="8" spans="2:7">
      <c r="B8" s="33"/>
      <c r="C8" s="34"/>
      <c r="D8" s="76" t="s">
        <v>228</v>
      </c>
      <c r="E8" s="34"/>
      <c r="F8" s="93" t="s">
        <v>229</v>
      </c>
      <c r="G8" s="94"/>
    </row>
    <row r="9" spans="2:7">
      <c r="B9" s="44" t="s">
        <v>230</v>
      </c>
      <c r="C9" s="1"/>
      <c r="D9" s="1"/>
      <c r="E9" s="1"/>
      <c r="F9" s="93"/>
      <c r="G9" s="94"/>
    </row>
    <row r="10" spans="2:7" ht="15" thickBot="1">
      <c r="B10" s="97" t="s">
        <v>231</v>
      </c>
      <c r="C10" s="98"/>
      <c r="D10" s="98"/>
      <c r="E10" s="45"/>
      <c r="F10" s="95"/>
      <c r="G10" s="96"/>
    </row>
    <row r="11" spans="2:7" ht="28.15" customHeight="1" thickBot="1">
      <c r="B11" s="49" t="s">
        <v>232</v>
      </c>
      <c r="C11" s="78" t="s">
        <v>233</v>
      </c>
      <c r="D11" s="47" t="s">
        <v>15</v>
      </c>
      <c r="E11" s="48"/>
      <c r="F11" s="49" t="s">
        <v>234</v>
      </c>
      <c r="G11" s="46" t="s">
        <v>235</v>
      </c>
    </row>
    <row r="12" spans="2:7" ht="21" customHeight="1">
      <c r="B12" s="79">
        <v>1</v>
      </c>
      <c r="C12" s="50"/>
      <c r="D12" s="51" t="s">
        <v>54</v>
      </c>
      <c r="E12" s="52"/>
      <c r="F12" s="50"/>
      <c r="G12" s="53"/>
    </row>
    <row r="13" spans="2:7" ht="45" customHeight="1">
      <c r="B13" s="80">
        <v>1.1000000000000001</v>
      </c>
      <c r="C13" s="3"/>
      <c r="D13" s="54" t="s">
        <v>55</v>
      </c>
      <c r="E13" s="55"/>
      <c r="F13" s="3" t="str">
        <f>VLOOKUP($D$7,'Source Data'!$A$2:$EU$28,3,FALSE)</f>
        <v>xxxxxxxxxxx</v>
      </c>
      <c r="G13" s="4"/>
    </row>
    <row r="14" spans="2:7" ht="45" customHeight="1">
      <c r="B14" s="80">
        <v>1.2000000000000002</v>
      </c>
      <c r="C14" s="3"/>
      <c r="D14" s="54" t="s">
        <v>56</v>
      </c>
      <c r="E14" s="55"/>
      <c r="F14" s="3" t="str">
        <f>VLOOKUP($D$7,'Source Data'!$A$2:$EU$28,4,FALSE)</f>
        <v>xxxxxxxxxxx</v>
      </c>
      <c r="G14" s="4"/>
    </row>
    <row r="15" spans="2:7" ht="45" customHeight="1">
      <c r="B15" s="80">
        <v>1.3</v>
      </c>
      <c r="C15" s="3"/>
      <c r="D15" s="54" t="s">
        <v>58</v>
      </c>
      <c r="E15" s="55"/>
      <c r="F15" s="3" t="str">
        <f>VLOOKUP($D$7,'Source Data'!$A$2:$EU$28,6,FALSE)</f>
        <v>xxxxxxxxxxx</v>
      </c>
      <c r="G15" s="4"/>
    </row>
    <row r="16" spans="2:7" ht="45" customHeight="1">
      <c r="B16" s="80">
        <v>1.4</v>
      </c>
      <c r="C16" s="3"/>
      <c r="D16" s="54" t="s">
        <v>236</v>
      </c>
      <c r="E16" s="55"/>
      <c r="F16" s="3" t="str">
        <f>VLOOKUP($D$7,'Source Data'!$A$2:$EU$28,7,FALSE)</f>
        <v>xxxxxxxxxxx</v>
      </c>
      <c r="G16" s="4"/>
    </row>
    <row r="17" spans="2:7" ht="45" customHeight="1">
      <c r="B17" s="80">
        <v>1.5</v>
      </c>
      <c r="C17" s="3"/>
      <c r="D17" s="54" t="s">
        <v>237</v>
      </c>
      <c r="E17" s="55"/>
      <c r="F17" s="3" t="str">
        <f>VLOOKUP($D$7,'Source Data'!$A$2:$EU$28,8,FALSE)</f>
        <v>xxxxxxxxxxx</v>
      </c>
      <c r="G17" s="4"/>
    </row>
    <row r="18" spans="2:7" ht="45" customHeight="1">
      <c r="B18" s="80">
        <v>1.6</v>
      </c>
      <c r="C18" s="3"/>
      <c r="D18" s="54" t="s">
        <v>61</v>
      </c>
      <c r="E18" s="55"/>
      <c r="F18" s="3" t="str">
        <f>VLOOKUP($D$7,'Source Data'!$A$2:$EU$28,9,FALSE)</f>
        <v>Ester Oil</v>
      </c>
      <c r="G18" s="4"/>
    </row>
    <row r="19" spans="2:7" ht="24.6" customHeight="1">
      <c r="B19" s="81">
        <v>2</v>
      </c>
      <c r="C19" s="3" t="s">
        <v>238</v>
      </c>
      <c r="D19" s="56" t="s">
        <v>62</v>
      </c>
      <c r="E19" s="55"/>
      <c r="F19" s="3"/>
      <c r="G19" s="4"/>
    </row>
    <row r="20" spans="2:7" ht="45" customHeight="1">
      <c r="B20" s="80">
        <v>2.1</v>
      </c>
      <c r="C20" s="3"/>
      <c r="D20" s="54" t="s">
        <v>63</v>
      </c>
      <c r="E20" s="55" t="s">
        <v>239</v>
      </c>
      <c r="F20" s="3">
        <f>VLOOKUP($D$7,'Source Data'!$A$2:$EU$28,11,FALSE)</f>
        <v>400</v>
      </c>
      <c r="G20" s="4"/>
    </row>
    <row r="21" spans="2:7" ht="45" customHeight="1">
      <c r="B21" s="80">
        <v>2.2000000000000002</v>
      </c>
      <c r="C21" s="3"/>
      <c r="D21" s="54" t="s">
        <v>64</v>
      </c>
      <c r="E21" s="55" t="s">
        <v>240</v>
      </c>
      <c r="F21" s="3">
        <f>VLOOKUP($D$7,'Source Data'!$A$2:$EU$28,12,FALSE)</f>
        <v>11</v>
      </c>
      <c r="G21" s="4"/>
    </row>
    <row r="22" spans="2:7" ht="45" customHeight="1">
      <c r="B22" s="80">
        <v>2.3000000000000003</v>
      </c>
      <c r="C22" s="3"/>
      <c r="D22" s="54" t="s">
        <v>241</v>
      </c>
      <c r="E22" s="55" t="s">
        <v>240</v>
      </c>
      <c r="F22" s="3">
        <f>VLOOKUP($D$7,'Source Data'!$A$2:$EU$28,13,FALSE)</f>
        <v>19</v>
      </c>
      <c r="G22" s="4"/>
    </row>
    <row r="23" spans="2:7" ht="45" customHeight="1">
      <c r="B23" s="80">
        <v>2.4000000000000004</v>
      </c>
      <c r="C23" s="3"/>
      <c r="D23" s="54" t="s">
        <v>66</v>
      </c>
      <c r="E23" s="55" t="s">
        <v>242</v>
      </c>
      <c r="F23" s="3">
        <f>VLOOKUP($D$7,'Source Data'!$A$2:$EU$28,14,FALSE)</f>
        <v>50</v>
      </c>
      <c r="G23" s="4"/>
    </row>
    <row r="24" spans="2:7" ht="45" customHeight="1">
      <c r="B24" s="80">
        <v>2.5</v>
      </c>
      <c r="C24" s="3"/>
      <c r="D24" s="54" t="s">
        <v>67</v>
      </c>
      <c r="E24" s="55"/>
      <c r="F24" s="3" t="str">
        <f>VLOOKUP($D$7,'Source Data'!$A$2:$EU$28,15,FALSE)</f>
        <v>1ph</v>
      </c>
      <c r="G24" s="4"/>
    </row>
    <row r="25" spans="2:7" ht="45" customHeight="1">
      <c r="B25" s="80">
        <v>2.6</v>
      </c>
      <c r="C25" s="3"/>
      <c r="D25" s="54" t="s">
        <v>68</v>
      </c>
      <c r="E25" s="55"/>
      <c r="F25" s="3" t="str">
        <f>VLOOKUP($D$7,'Source Data'!$A$2:$EU$28,16,FALSE)</f>
        <v>N/A</v>
      </c>
      <c r="G25" s="4" t="s">
        <v>178</v>
      </c>
    </row>
    <row r="26" spans="2:7" ht="24.6" customHeight="1">
      <c r="B26" s="81">
        <v>3</v>
      </c>
      <c r="C26" s="3" t="s">
        <v>243</v>
      </c>
      <c r="D26" s="56" t="s">
        <v>69</v>
      </c>
      <c r="E26" s="55"/>
      <c r="F26" s="3"/>
      <c r="G26" s="4"/>
    </row>
    <row r="27" spans="2:7" ht="45" customHeight="1">
      <c r="B27" s="80">
        <v>3.1</v>
      </c>
      <c r="C27" s="3"/>
      <c r="D27" s="54" t="s">
        <v>70</v>
      </c>
      <c r="E27" s="55" t="s">
        <v>240</v>
      </c>
      <c r="F27" s="3">
        <f>VLOOKUP($D$7,'Source Data'!$A$2:$EU$28,18,FALSE)</f>
        <v>95</v>
      </c>
      <c r="G27" s="4"/>
    </row>
    <row r="28" spans="2:7" ht="45" customHeight="1">
      <c r="B28" s="80">
        <v>3.2</v>
      </c>
      <c r="C28" s="3"/>
      <c r="D28" s="54" t="s">
        <v>71</v>
      </c>
      <c r="E28" s="55" t="s">
        <v>240</v>
      </c>
      <c r="F28" s="3">
        <f>VLOOKUP($D$7,'Source Data'!$A$2:$EU$28,19,FALSE)</f>
        <v>200</v>
      </c>
      <c r="G28" s="4"/>
    </row>
    <row r="29" spans="2:7" ht="45" customHeight="1">
      <c r="B29" s="80">
        <v>3.3</v>
      </c>
      <c r="C29" s="3"/>
      <c r="D29" s="54" t="s">
        <v>72</v>
      </c>
      <c r="E29" s="55" t="s">
        <v>240</v>
      </c>
      <c r="F29" s="3">
        <f>VLOOKUP($D$7,'Source Data'!$A$2:$EU$28,20,FALSE)</f>
        <v>30</v>
      </c>
      <c r="G29" s="4"/>
    </row>
    <row r="30" spans="2:7" ht="45" customHeight="1">
      <c r="B30" s="80">
        <v>3.4</v>
      </c>
      <c r="C30" s="3"/>
      <c r="D30" s="54" t="s">
        <v>73</v>
      </c>
      <c r="E30" s="55" t="s">
        <v>240</v>
      </c>
      <c r="F30" s="3">
        <f>VLOOKUP($D$7,'Source Data'!$A$2:$EU$28,21,FALSE)</f>
        <v>28</v>
      </c>
      <c r="G30" s="4"/>
    </row>
    <row r="31" spans="2:7" ht="45" customHeight="1">
      <c r="B31" s="80">
        <v>3.5</v>
      </c>
      <c r="C31" s="3"/>
      <c r="D31" s="54" t="s">
        <v>74</v>
      </c>
      <c r="E31" s="55" t="s">
        <v>240</v>
      </c>
      <c r="F31" s="3">
        <f>VLOOKUP($D$7,'Source Data'!$A$2:$EU$28,22,FALSE)</f>
        <v>8</v>
      </c>
      <c r="G31" s="4"/>
    </row>
    <row r="32" spans="2:7" ht="33" customHeight="1">
      <c r="B32" s="81">
        <v>4</v>
      </c>
      <c r="C32" s="3" t="s">
        <v>244</v>
      </c>
      <c r="D32" s="56" t="s">
        <v>75</v>
      </c>
      <c r="E32" s="55"/>
      <c r="F32" s="3"/>
      <c r="G32" s="4"/>
    </row>
    <row r="33" spans="2:7" ht="45" customHeight="1">
      <c r="B33" s="80">
        <v>4.0999999999999996</v>
      </c>
      <c r="C33" s="3"/>
      <c r="D33" s="54" t="s">
        <v>76</v>
      </c>
      <c r="E33" s="55"/>
      <c r="F33" s="3" t="str">
        <f>VLOOKUP($D$7,'Source Data'!$A$2:$EU$28,24,FALSE)</f>
        <v>xxxxxxxxxxx</v>
      </c>
      <c r="G33" s="4"/>
    </row>
    <row r="34" spans="2:7" ht="45" customHeight="1">
      <c r="B34" s="80">
        <v>4.1999999999999993</v>
      </c>
      <c r="C34" s="3"/>
      <c r="D34" s="54" t="s">
        <v>77</v>
      </c>
      <c r="E34" s="55"/>
      <c r="F34" s="3" t="str">
        <f>VLOOKUP($D$7,'Source Data'!$A$2:$EU$28,25,FALSE)</f>
        <v>Grade 3</v>
      </c>
      <c r="G34" s="4"/>
    </row>
    <row r="35" spans="2:7" ht="45" customHeight="1">
      <c r="B35" s="80">
        <v>4.3</v>
      </c>
      <c r="C35" s="3"/>
      <c r="D35" s="54" t="s">
        <v>78</v>
      </c>
      <c r="E35" s="55" t="s">
        <v>245</v>
      </c>
      <c r="F35" s="3" t="str">
        <f>VLOOKUP($D$7,'Source Data'!$A$2:$EU$28,26,FALSE)</f>
        <v>&gt; 0.125</v>
      </c>
      <c r="G35" s="4"/>
    </row>
    <row r="36" spans="2:7" ht="45" customHeight="1">
      <c r="B36" s="80">
        <v>4.3999999999999995</v>
      </c>
      <c r="C36" s="3"/>
      <c r="D36" s="54" t="s">
        <v>79</v>
      </c>
      <c r="E36" s="55"/>
      <c r="F36" s="3" t="str">
        <f>VLOOKUP($D$7,'Source Data'!$A$2:$EU$28,27,FALSE)</f>
        <v>xxxxxxxxxxx</v>
      </c>
      <c r="G36" s="4"/>
    </row>
    <row r="37" spans="2:7" ht="45" customHeight="1">
      <c r="B37" s="80">
        <v>4.5</v>
      </c>
      <c r="C37" s="3"/>
      <c r="D37" s="54" t="s">
        <v>80</v>
      </c>
      <c r="E37" s="55"/>
      <c r="F37" s="3" t="str">
        <f>VLOOKUP($D$7,'Source Data'!$A$2:$EU$28,28,FALSE)</f>
        <v>xxxxxxxxxxx</v>
      </c>
      <c r="G37" s="4"/>
    </row>
    <row r="38" spans="2:7" ht="45" customHeight="1">
      <c r="B38" s="80">
        <v>4.5999999999999996</v>
      </c>
      <c r="C38" s="3"/>
      <c r="D38" s="54" t="s">
        <v>81</v>
      </c>
      <c r="E38" s="55" t="s">
        <v>240</v>
      </c>
      <c r="F38" s="3">
        <f>VLOOKUP($D$7,'Source Data'!$A$2:$EU$28,29,FALSE)</f>
        <v>21</v>
      </c>
      <c r="G38" s="4"/>
    </row>
    <row r="39" spans="2:7" ht="45" customHeight="1">
      <c r="B39" s="80">
        <v>4.7</v>
      </c>
      <c r="C39" s="3"/>
      <c r="D39" s="54" t="s">
        <v>82</v>
      </c>
      <c r="E39" s="55" t="s">
        <v>240</v>
      </c>
      <c r="F39" s="3">
        <f>VLOOKUP($D$7,'Source Data'!$A$2:$EU$28,30,FALSE)</f>
        <v>8</v>
      </c>
      <c r="G39" s="4"/>
    </row>
    <row r="40" spans="2:7" ht="45" customHeight="1">
      <c r="B40" s="80">
        <v>4.8</v>
      </c>
      <c r="C40" s="3"/>
      <c r="D40" s="54" t="s">
        <v>246</v>
      </c>
      <c r="E40" s="55" t="s">
        <v>247</v>
      </c>
      <c r="F40" s="3" t="str">
        <f>VLOOKUP($D$7,'Source Data'!$A$2:$EU$28,31,FALSE)</f>
        <v>&lt;5</v>
      </c>
      <c r="G40" s="4"/>
    </row>
    <row r="41" spans="2:7" ht="45" customHeight="1">
      <c r="B41" s="81">
        <v>5</v>
      </c>
      <c r="C41" s="3" t="s">
        <v>248</v>
      </c>
      <c r="D41" s="56" t="s">
        <v>84</v>
      </c>
      <c r="E41" s="55"/>
      <c r="F41" s="3"/>
      <c r="G41" s="4"/>
    </row>
    <row r="42" spans="2:7" ht="45" customHeight="1">
      <c r="B42" s="80">
        <v>5.0999999999999996</v>
      </c>
      <c r="C42" s="3"/>
      <c r="D42" s="54" t="s">
        <v>85</v>
      </c>
      <c r="E42" s="55" t="s">
        <v>247</v>
      </c>
      <c r="F42" s="3" t="str">
        <f>VLOOKUP($D$7,'Source Data'!$A$2:$EU$28,33,FALSE)</f>
        <v>&lt; 5</v>
      </c>
      <c r="G42" s="4"/>
    </row>
    <row r="43" spans="2:7" ht="45" customHeight="1">
      <c r="B43" s="80">
        <v>5.1999999999999993</v>
      </c>
      <c r="C43" s="3"/>
      <c r="D43" s="54" t="s">
        <v>86</v>
      </c>
      <c r="E43" s="55" t="s">
        <v>247</v>
      </c>
      <c r="F43" s="3" t="str">
        <f>VLOOKUP($D$7,'Source Data'!$A$2:$EU$28,34,FALSE)</f>
        <v xml:space="preserve">&lt; 5 </v>
      </c>
      <c r="G43" s="4"/>
    </row>
    <row r="44" spans="2:7" ht="45" customHeight="1">
      <c r="B44" s="80">
        <v>5.3</v>
      </c>
      <c r="C44" s="3"/>
      <c r="D44" s="54" t="s">
        <v>87</v>
      </c>
      <c r="E44" s="55"/>
      <c r="F44" s="3" t="str">
        <f>VLOOKUP($D$7,'Source Data'!$A$2:$EU$28,35,FALSE)</f>
        <v>xxxxxxxxxxx</v>
      </c>
      <c r="G44" s="4"/>
    </row>
    <row r="45" spans="2:7" ht="45" customHeight="1">
      <c r="B45" s="80">
        <v>5.3999999999999995</v>
      </c>
      <c r="C45" s="3"/>
      <c r="D45" s="54" t="s">
        <v>88</v>
      </c>
      <c r="E45" s="55"/>
      <c r="F45" s="3" t="str">
        <f>VLOOKUP($D$7,'Source Data'!$A$2:$EU$28,36,FALSE)</f>
        <v>xxxxxxxxxxx</v>
      </c>
      <c r="G45" s="4"/>
    </row>
    <row r="46" spans="2:7" ht="27" customHeight="1">
      <c r="B46" s="81">
        <v>6</v>
      </c>
      <c r="C46" s="3" t="s">
        <v>249</v>
      </c>
      <c r="D46" s="56" t="s">
        <v>89</v>
      </c>
      <c r="E46" s="55"/>
      <c r="F46" s="3"/>
      <c r="G46" s="4"/>
    </row>
    <row r="47" spans="2:7" ht="45" customHeight="1">
      <c r="B47" s="80">
        <v>6.1</v>
      </c>
      <c r="C47" s="3"/>
      <c r="D47" s="54" t="s">
        <v>90</v>
      </c>
      <c r="E47" s="55"/>
      <c r="F47" s="3" t="str">
        <f>VLOOKUP($D$7,'Source Data'!$A$2:$EU$28,38,FALSE)</f>
        <v>xxxxxxxxxxx</v>
      </c>
      <c r="G47" s="4" t="s">
        <v>178</v>
      </c>
    </row>
    <row r="48" spans="2:7" ht="31.15" customHeight="1">
      <c r="B48" s="81">
        <v>7</v>
      </c>
      <c r="C48" s="3" t="s">
        <v>250</v>
      </c>
      <c r="D48" s="56" t="s">
        <v>100</v>
      </c>
      <c r="E48" s="55"/>
      <c r="F48" s="3"/>
      <c r="G48" s="4"/>
    </row>
    <row r="49" spans="2:7" ht="45" customHeight="1">
      <c r="B49" s="80">
        <v>7.1</v>
      </c>
      <c r="C49" s="3"/>
      <c r="D49" s="54" t="s">
        <v>93</v>
      </c>
      <c r="E49" s="55"/>
      <c r="F49" s="3" t="str">
        <f>VLOOKUP($D$7,'Source Data'!$A$2:$EU$28,49,FALSE)</f>
        <v>xxxxxxxxxxx</v>
      </c>
      <c r="G49" s="4"/>
    </row>
    <row r="50" spans="2:7" ht="45" customHeight="1">
      <c r="B50" s="80">
        <v>7.2</v>
      </c>
      <c r="C50" s="3"/>
      <c r="D50" s="54" t="s">
        <v>94</v>
      </c>
      <c r="E50" s="55"/>
      <c r="F50" s="3" t="str">
        <f>VLOOKUP($D$7,'Source Data'!$A$2:$EU$28,50,FALSE)</f>
        <v>xxxxxxxxxxx</v>
      </c>
      <c r="G50" s="4"/>
    </row>
    <row r="51" spans="2:7" ht="45" customHeight="1">
      <c r="B51" s="80">
        <v>7.3</v>
      </c>
      <c r="C51" s="3"/>
      <c r="D51" s="54" t="s">
        <v>95</v>
      </c>
      <c r="E51" s="55"/>
      <c r="F51" s="3" t="str">
        <f>VLOOKUP($D$7,'Source Data'!$A$2:$EU$28,51,FALSE)</f>
        <v>xxxxxxxxxxx</v>
      </c>
      <c r="G51" s="4"/>
    </row>
    <row r="52" spans="2:7" ht="45" customHeight="1">
      <c r="B52" s="80">
        <v>7.4</v>
      </c>
      <c r="C52" s="3"/>
      <c r="D52" s="54" t="s">
        <v>96</v>
      </c>
      <c r="E52" s="55" t="s">
        <v>251</v>
      </c>
      <c r="F52" s="3" t="str">
        <f>VLOOKUP($D$7,'Source Data'!$A$2:$EU$28,52,FALSE)</f>
        <v>≥ 31</v>
      </c>
      <c r="G52" s="4"/>
    </row>
    <row r="53" spans="2:7" ht="45" customHeight="1">
      <c r="B53" s="80">
        <v>7.5</v>
      </c>
      <c r="C53" s="3"/>
      <c r="D53" s="54" t="s">
        <v>97</v>
      </c>
      <c r="E53" s="55"/>
      <c r="F53" s="3" t="str">
        <f>VLOOKUP($D$7,'Source Data'!$A$2:$EU$28,53,FALSE)</f>
        <v>Base</v>
      </c>
      <c r="G53" s="4"/>
    </row>
    <row r="54" spans="2:7" ht="45" customHeight="1">
      <c r="B54" s="80">
        <v>7.6</v>
      </c>
      <c r="C54" s="3"/>
      <c r="D54" s="54" t="s">
        <v>98</v>
      </c>
      <c r="E54" s="55"/>
      <c r="F54" s="3" t="str">
        <f>VLOOKUP($D$7,'Source Data'!$A$2:$EU$28,54,FALSE)</f>
        <v>Draw lead</v>
      </c>
      <c r="G54" s="4"/>
    </row>
    <row r="55" spans="2:7" ht="45" customHeight="1">
      <c r="B55" s="80">
        <v>7.7</v>
      </c>
      <c r="C55" s="3"/>
      <c r="D55" s="54" t="s">
        <v>99</v>
      </c>
      <c r="E55" s="55"/>
      <c r="F55" s="3" t="str">
        <f>VLOOKUP($D$7,'Source Data'!$A$2:$EU$28,55,FALSE)</f>
        <v>M12</v>
      </c>
      <c r="G55" s="4"/>
    </row>
    <row r="56" spans="2:7" ht="45" customHeight="1">
      <c r="B56" s="80">
        <v>7.8</v>
      </c>
      <c r="C56" s="3" t="s">
        <v>250</v>
      </c>
      <c r="D56" s="56" t="s">
        <v>101</v>
      </c>
      <c r="E56" s="55"/>
      <c r="F56" s="3"/>
      <c r="G56" s="4"/>
    </row>
    <row r="57" spans="2:7" ht="45" customHeight="1">
      <c r="B57" s="80">
        <v>7.9</v>
      </c>
      <c r="C57" s="3"/>
      <c r="D57" s="2" t="s">
        <v>93</v>
      </c>
      <c r="E57" s="55"/>
      <c r="F57" s="3" t="str">
        <f>VLOOKUP($D$7,'Source Data'!$A$2:$EU$28,57,FALSE)</f>
        <v>xxxxxxxxxxx</v>
      </c>
      <c r="G57" s="4"/>
    </row>
    <row r="58" spans="2:7" ht="45" customHeight="1">
      <c r="B58" s="82" t="s">
        <v>252</v>
      </c>
      <c r="C58" s="3"/>
      <c r="D58" s="2" t="s">
        <v>94</v>
      </c>
      <c r="E58" s="55"/>
      <c r="F58" s="3" t="str">
        <f>VLOOKUP($D$7,'Source Data'!$A$2:$EU$28,58,FALSE)</f>
        <v>xxxxxxxxxxx</v>
      </c>
      <c r="G58" s="4"/>
    </row>
    <row r="59" spans="2:7" ht="45" customHeight="1">
      <c r="B59" s="82" t="s">
        <v>253</v>
      </c>
      <c r="C59" s="3"/>
      <c r="D59" s="2" t="s">
        <v>95</v>
      </c>
      <c r="E59" s="55"/>
      <c r="F59" s="3" t="str">
        <f>VLOOKUP($D$7,'Source Data'!$A$2:$EU$28,59,FALSE)</f>
        <v>xxxxxxxxxxx</v>
      </c>
      <c r="G59" s="4"/>
    </row>
    <row r="60" spans="2:7" ht="45" customHeight="1">
      <c r="B60" s="82" t="s">
        <v>254</v>
      </c>
      <c r="C60" s="3"/>
      <c r="D60" s="2" t="s">
        <v>96</v>
      </c>
      <c r="E60" s="55"/>
      <c r="F60" s="3" t="str">
        <f>VLOOKUP($D$7,'Source Data'!$A$2:$EU$28,60,FALSE)</f>
        <v>≥ 31</v>
      </c>
      <c r="G60" s="4"/>
    </row>
    <row r="61" spans="2:7" ht="45" customHeight="1">
      <c r="B61" s="82" t="s">
        <v>255</v>
      </c>
      <c r="C61" s="3"/>
      <c r="D61" s="2" t="s">
        <v>97</v>
      </c>
      <c r="E61" s="55"/>
      <c r="F61" s="3" t="str">
        <f>VLOOKUP($D$7,'Source Data'!$A$2:$EU$28,61,FALSE)</f>
        <v>Base</v>
      </c>
      <c r="G61" s="4"/>
    </row>
    <row r="62" spans="2:7" ht="45" customHeight="1">
      <c r="B62" s="82" t="s">
        <v>256</v>
      </c>
      <c r="C62" s="3"/>
      <c r="D62" s="2" t="s">
        <v>98</v>
      </c>
      <c r="E62" s="55"/>
      <c r="F62" s="3" t="str">
        <f>VLOOKUP($D$7,'Source Data'!$A$2:$EU$28,62,FALSE)</f>
        <v>Draw lead</v>
      </c>
      <c r="G62" s="4"/>
    </row>
    <row r="63" spans="2:7" ht="45" customHeight="1">
      <c r="B63" s="82" t="s">
        <v>257</v>
      </c>
      <c r="C63" s="3"/>
      <c r="D63" s="2" t="s">
        <v>99</v>
      </c>
      <c r="E63" s="55"/>
      <c r="F63" s="3" t="str">
        <f>VLOOKUP($D$7,'Source Data'!$A$2:$EU$28,63,FALSE)</f>
        <v>M12</v>
      </c>
      <c r="G63" s="4"/>
    </row>
    <row r="64" spans="2:7" ht="15.6">
      <c r="B64" s="81">
        <v>8</v>
      </c>
      <c r="C64" s="3" t="s">
        <v>250</v>
      </c>
      <c r="D64" s="56" t="s">
        <v>102</v>
      </c>
      <c r="E64" s="55"/>
      <c r="F64" s="3"/>
      <c r="G64" s="4"/>
    </row>
    <row r="65" spans="2:7" ht="45" customHeight="1">
      <c r="B65" s="80">
        <v>8.1</v>
      </c>
      <c r="C65" s="3"/>
      <c r="D65" s="54" t="s">
        <v>93</v>
      </c>
      <c r="E65" s="55"/>
      <c r="F65" s="3" t="str">
        <f>VLOOKUP($D$7,'Source Data'!$A$2:$EU$28,65,FALSE)</f>
        <v>xxxxxxxxxxx</v>
      </c>
      <c r="G65" s="4"/>
    </row>
    <row r="66" spans="2:7" ht="45" customHeight="1">
      <c r="B66" s="80">
        <v>8.1999999999999993</v>
      </c>
      <c r="C66" s="3"/>
      <c r="D66" s="54" t="s">
        <v>94</v>
      </c>
      <c r="E66" s="55"/>
      <c r="F66" s="3" t="str">
        <f>VLOOKUP($D$7,'Source Data'!$A$2:$EU$28,66,FALSE)</f>
        <v>xxxxxxxxxxx</v>
      </c>
      <c r="G66" s="4"/>
    </row>
    <row r="67" spans="2:7" ht="45" customHeight="1">
      <c r="B67" s="80">
        <v>8.3000000000000007</v>
      </c>
      <c r="C67" s="3"/>
      <c r="D67" s="54" t="s">
        <v>95</v>
      </c>
      <c r="E67" s="55"/>
      <c r="F67" s="3" t="str">
        <f>VLOOKUP($D$7,'Source Data'!$A$2:$EU$28,67,FALSE)</f>
        <v>xxxxxxxxxxx</v>
      </c>
      <c r="G67" s="4"/>
    </row>
    <row r="68" spans="2:7" ht="45" customHeight="1">
      <c r="B68" s="80">
        <v>8.4</v>
      </c>
      <c r="C68" s="3"/>
      <c r="D68" s="54" t="s">
        <v>99</v>
      </c>
      <c r="E68" s="55"/>
      <c r="F68" s="3" t="str">
        <f>VLOOKUP($D$7,'Source Data'!$A$2:$EU$28,68,FALSE)</f>
        <v>M12</v>
      </c>
      <c r="G68" s="4"/>
    </row>
    <row r="69" spans="2:7" ht="28.15" customHeight="1">
      <c r="B69" s="81">
        <v>9</v>
      </c>
      <c r="C69" s="3" t="s">
        <v>258</v>
      </c>
      <c r="D69" s="56" t="s">
        <v>105</v>
      </c>
      <c r="E69" s="55"/>
      <c r="F69" s="3"/>
      <c r="G69" s="4"/>
    </row>
    <row r="70" spans="2:7" ht="45" customHeight="1">
      <c r="B70" s="80">
        <v>9.1</v>
      </c>
      <c r="C70" s="3"/>
      <c r="D70" s="54" t="s">
        <v>106</v>
      </c>
      <c r="E70" s="55"/>
      <c r="F70" s="3" t="str">
        <f>VLOOKUP($D$7,'Source Data'!$A$2:$EU$28,72,FALSE)</f>
        <v>Distribution</v>
      </c>
      <c r="G70" s="4" t="s">
        <v>178</v>
      </c>
    </row>
    <row r="71" spans="2:7" ht="45" customHeight="1">
      <c r="B71" s="80">
        <v>9.1999999999999993</v>
      </c>
      <c r="C71" s="3"/>
      <c r="D71" s="54" t="s">
        <v>107</v>
      </c>
      <c r="E71" s="55" t="s">
        <v>259</v>
      </c>
      <c r="F71" s="3">
        <f>VLOOKUP($D$7,'Source Data'!$A$2:$EU$28,73,FALSE)</f>
        <v>80500</v>
      </c>
      <c r="G71" s="4" t="s">
        <v>178</v>
      </c>
    </row>
    <row r="72" spans="2:7" ht="45" customHeight="1">
      <c r="B72" s="80">
        <v>9.3000000000000007</v>
      </c>
      <c r="C72" s="3"/>
      <c r="D72" s="54" t="s">
        <v>108</v>
      </c>
      <c r="E72" s="55" t="s">
        <v>259</v>
      </c>
      <c r="F72" s="3">
        <f>VLOOKUP($D$7,'Source Data'!$A$2:$EU$28,74,FALSE)</f>
        <v>17500</v>
      </c>
      <c r="G72" s="4" t="s">
        <v>178</v>
      </c>
    </row>
    <row r="73" spans="2:7" ht="45" customHeight="1">
      <c r="B73" s="80">
        <v>9.4</v>
      </c>
      <c r="C73" s="3"/>
      <c r="D73" s="54" t="s">
        <v>260</v>
      </c>
      <c r="E73" s="55" t="s">
        <v>261</v>
      </c>
      <c r="F73" s="3">
        <v>540</v>
      </c>
      <c r="G73" s="4"/>
    </row>
    <row r="74" spans="2:7" ht="45" customHeight="1">
      <c r="B74" s="80">
        <v>9.5</v>
      </c>
      <c r="C74" s="3"/>
      <c r="D74" s="54" t="s">
        <v>262</v>
      </c>
      <c r="E74" s="55" t="s">
        <v>261</v>
      </c>
      <c r="F74" s="3">
        <v>200</v>
      </c>
      <c r="G74" s="4"/>
    </row>
    <row r="75" spans="2:7" ht="45" customHeight="1">
      <c r="B75" s="80">
        <v>9.6</v>
      </c>
      <c r="C75" s="3"/>
      <c r="D75" s="54" t="s">
        <v>263</v>
      </c>
      <c r="E75" s="55" t="s">
        <v>261</v>
      </c>
      <c r="F75" s="3">
        <v>4400</v>
      </c>
      <c r="G75" s="4"/>
    </row>
    <row r="76" spans="2:7" ht="27" customHeight="1">
      <c r="B76" s="81">
        <v>10</v>
      </c>
      <c r="C76" s="3" t="s">
        <v>258</v>
      </c>
      <c r="D76" s="57" t="s">
        <v>111</v>
      </c>
      <c r="E76" s="55"/>
      <c r="F76" s="3"/>
      <c r="G76" s="4"/>
    </row>
    <row r="77" spans="2:7" ht="45" customHeight="1">
      <c r="B77" s="80">
        <v>10.1</v>
      </c>
      <c r="C77" s="3"/>
      <c r="D77" s="58" t="s">
        <v>112</v>
      </c>
      <c r="E77" s="55" t="s">
        <v>264</v>
      </c>
      <c r="F77" s="59" t="str">
        <f>VLOOKUP($D$7,'Source Data'!$A$2:$EU$28,78,FALSE)</f>
        <v>4,0 to 5,0</v>
      </c>
      <c r="G77" s="4"/>
    </row>
    <row r="78" spans="2:7" ht="45" customHeight="1">
      <c r="B78" s="80">
        <v>10.199999999999999</v>
      </c>
      <c r="C78" s="3"/>
      <c r="D78" s="58" t="s">
        <v>113</v>
      </c>
      <c r="E78" s="55"/>
      <c r="F78" s="59" t="str">
        <f>VLOOKUP($D$7,'Source Data'!$A$2:$EU$28,79,FALSE)</f>
        <v>xxxxxxxxxx</v>
      </c>
      <c r="G78" s="4"/>
    </row>
    <row r="79" spans="2:7" ht="27" customHeight="1">
      <c r="B79" s="81">
        <v>11</v>
      </c>
      <c r="C79" s="3"/>
      <c r="D79" s="117" t="s">
        <v>299</v>
      </c>
      <c r="E79" s="55"/>
      <c r="F79" s="3"/>
      <c r="G79" s="4"/>
    </row>
    <row r="80" spans="2:7" ht="45" customHeight="1">
      <c r="B80" s="80">
        <v>11.1</v>
      </c>
      <c r="C80" s="3"/>
      <c r="D80" s="54" t="s">
        <v>115</v>
      </c>
      <c r="E80" s="55" t="s">
        <v>266</v>
      </c>
      <c r="F80" s="59" t="str">
        <f>VLOOKUP($D$7,'Source Data'!$A$2:$EU$28,81,FALSE)</f>
        <v>≤ 52</v>
      </c>
      <c r="G80" s="4"/>
    </row>
    <row r="81" spans="2:7" ht="22.15" customHeight="1">
      <c r="B81" s="81">
        <v>12</v>
      </c>
      <c r="C81" s="3"/>
      <c r="D81" s="56" t="s">
        <v>267</v>
      </c>
      <c r="E81" s="55"/>
      <c r="F81" s="3"/>
      <c r="G81" s="4"/>
    </row>
    <row r="82" spans="2:7" ht="45" customHeight="1">
      <c r="B82" s="80">
        <v>12.1</v>
      </c>
      <c r="C82" s="3"/>
      <c r="D82" s="54" t="s">
        <v>117</v>
      </c>
      <c r="E82" s="55"/>
      <c r="F82" s="59" t="str">
        <f>VLOOKUP($D$7,'Source Data'!$A$2:$EU$28,83,FALSE)</f>
        <v>xxxxxxxxxxx</v>
      </c>
      <c r="G82" s="4"/>
    </row>
    <row r="83" spans="2:7" ht="45" customHeight="1">
      <c r="B83" s="80">
        <v>12.2</v>
      </c>
      <c r="C83" s="3"/>
      <c r="D83" s="54" t="s">
        <v>118</v>
      </c>
      <c r="E83" s="55"/>
      <c r="F83" s="59" t="str">
        <f>VLOOKUP($D$7,'Source Data'!$A$2:$EU$28,84,FALSE)</f>
        <v>xxxxxxxxxxx</v>
      </c>
      <c r="G83" s="4"/>
    </row>
    <row r="84" spans="2:7" ht="21.6" customHeight="1">
      <c r="B84" s="81">
        <v>13</v>
      </c>
      <c r="C84" s="3"/>
      <c r="D84" s="56" t="s">
        <v>119</v>
      </c>
      <c r="E84" s="55"/>
      <c r="F84" s="3"/>
      <c r="G84" s="4"/>
    </row>
    <row r="85" spans="2:7" ht="45" customHeight="1">
      <c r="B85" s="80">
        <v>13.1</v>
      </c>
      <c r="C85" s="3"/>
      <c r="D85" s="54" t="s">
        <v>117</v>
      </c>
      <c r="E85" s="55"/>
      <c r="F85" s="59" t="str">
        <f>VLOOKUP($D$7,'Source Data'!$A$2:$EU$28,86,FALSE)</f>
        <v>xxxxxxxxxxx</v>
      </c>
      <c r="G85" s="4"/>
    </row>
    <row r="86" spans="2:7" ht="45" customHeight="1">
      <c r="B86" s="80">
        <v>13.2</v>
      </c>
      <c r="C86" s="3"/>
      <c r="D86" s="54" t="s">
        <v>118</v>
      </c>
      <c r="E86" s="55"/>
      <c r="F86" s="59" t="str">
        <f>VLOOKUP($D$7,'Source Data'!$A$2:$EU$28,87,FALSE)</f>
        <v>xxxxxxxxxxx</v>
      </c>
      <c r="G86" s="4"/>
    </row>
    <row r="87" spans="2:7" ht="24.6" customHeight="1">
      <c r="B87" s="81">
        <v>14</v>
      </c>
      <c r="C87" s="3"/>
      <c r="D87" s="56" t="s">
        <v>120</v>
      </c>
      <c r="E87" s="55"/>
      <c r="F87" s="3"/>
      <c r="G87" s="4"/>
    </row>
    <row r="88" spans="2:7" ht="45" customHeight="1">
      <c r="B88" s="80">
        <v>14.1</v>
      </c>
      <c r="C88" s="3"/>
      <c r="D88" s="54" t="s">
        <v>121</v>
      </c>
      <c r="E88" s="55"/>
      <c r="F88" s="59" t="str">
        <f>VLOOKUP($D$7,'Source Data'!$A$2:$EU$28,89,FALSE)</f>
        <v>Steel or Amporphous</v>
      </c>
      <c r="G88" s="4"/>
    </row>
    <row r="89" spans="2:7" ht="45" customHeight="1">
      <c r="B89" s="80">
        <v>14.2</v>
      </c>
      <c r="C89" s="3"/>
      <c r="D89" s="54" t="s">
        <v>122</v>
      </c>
      <c r="E89" s="55"/>
      <c r="F89" s="59" t="str">
        <f>VLOOKUP($D$7,'Source Data'!$A$2:$EU$28,90,FALSE)</f>
        <v>xxxxxxxxxxx</v>
      </c>
      <c r="G89" s="4"/>
    </row>
    <row r="90" spans="2:7" ht="45" customHeight="1">
      <c r="B90" s="80">
        <v>14.3</v>
      </c>
      <c r="C90" s="3"/>
      <c r="D90" s="54" t="s">
        <v>123</v>
      </c>
      <c r="E90" s="55"/>
      <c r="F90" s="59" t="str">
        <f>VLOOKUP($D$7,'Source Data'!$A$2:$EU$28,91,FALSE)</f>
        <v>xxxxxxxxxxx</v>
      </c>
      <c r="G90" s="4"/>
    </row>
    <row r="91" spans="2:7" ht="45" customHeight="1">
      <c r="B91" s="80">
        <v>14.4</v>
      </c>
      <c r="C91" s="3"/>
      <c r="D91" s="54" t="s">
        <v>124</v>
      </c>
      <c r="E91" s="55"/>
      <c r="F91" s="59" t="str">
        <f>VLOOKUP($D$7,'Source Data'!$A$2:$EU$28,92,FALSE)</f>
        <v>xxxxxxxxxxx</v>
      </c>
      <c r="G91" s="4"/>
    </row>
    <row r="92" spans="2:7" ht="23.45" customHeight="1">
      <c r="B92" s="81">
        <v>15</v>
      </c>
      <c r="C92" s="3" t="s">
        <v>268</v>
      </c>
      <c r="D92" s="57" t="s">
        <v>125</v>
      </c>
      <c r="E92" s="55"/>
      <c r="F92" s="59"/>
      <c r="G92" s="4"/>
    </row>
    <row r="93" spans="2:7" ht="45" customHeight="1">
      <c r="B93" s="80">
        <v>15.1</v>
      </c>
      <c r="C93" s="3"/>
      <c r="D93" s="54" t="s">
        <v>126</v>
      </c>
      <c r="E93" s="55"/>
      <c r="F93" s="59" t="str">
        <f>VLOOKUP($D$7,'Source Data'!$A$2:$EU$28,94,FALSE)</f>
        <v>Sealed</v>
      </c>
      <c r="G93" s="4"/>
    </row>
    <row r="94" spans="2:7" ht="45" customHeight="1">
      <c r="B94" s="80">
        <v>15.2</v>
      </c>
      <c r="C94" s="3"/>
      <c r="D94" s="54" t="s">
        <v>127</v>
      </c>
      <c r="E94" s="55"/>
      <c r="F94" s="59" t="str">
        <f>VLOOKUP($D$7,'Source Data'!$A$2:$EU$28,95,FALSE)</f>
        <v>xxxxxxxxxx</v>
      </c>
      <c r="G94" s="4"/>
    </row>
    <row r="95" spans="2:7" ht="21.6" customHeight="1">
      <c r="B95" s="81">
        <v>16</v>
      </c>
      <c r="C95" s="3" t="s">
        <v>269</v>
      </c>
      <c r="D95" s="56" t="s">
        <v>128</v>
      </c>
      <c r="E95" s="55"/>
      <c r="F95" s="59"/>
      <c r="G95" s="4"/>
    </row>
    <row r="96" spans="2:7" ht="40.15" customHeight="1">
      <c r="B96" s="80">
        <v>16.100000000000001</v>
      </c>
      <c r="C96" s="3" t="s">
        <v>270</v>
      </c>
      <c r="D96" s="54" t="s">
        <v>129</v>
      </c>
      <c r="E96" s="55" t="s">
        <v>245</v>
      </c>
      <c r="F96" s="59" t="str">
        <f>VLOOKUP($D$7,'Source Data'!$A$2:$EU$28,97,FALSE)</f>
        <v>≤ 1 800</v>
      </c>
      <c r="G96" s="4"/>
    </row>
    <row r="97" spans="2:7" ht="40.15" customHeight="1">
      <c r="B97" s="80">
        <v>16.2</v>
      </c>
      <c r="C97" s="3" t="s">
        <v>270</v>
      </c>
      <c r="D97" s="54" t="s">
        <v>130</v>
      </c>
      <c r="E97" s="55" t="s">
        <v>245</v>
      </c>
      <c r="F97" s="59" t="str">
        <f>VLOOKUP($D$7,'Source Data'!$A$2:$EU$28,98,FALSE)</f>
        <v xml:space="preserve">≤ 1 500 </v>
      </c>
      <c r="G97" s="4"/>
    </row>
    <row r="98" spans="2:7" ht="40.15" customHeight="1">
      <c r="B98" s="80">
        <v>16.3</v>
      </c>
      <c r="C98" s="3" t="s">
        <v>270</v>
      </c>
      <c r="D98" s="54" t="s">
        <v>131</v>
      </c>
      <c r="E98" s="55" t="s">
        <v>245</v>
      </c>
      <c r="F98" s="59" t="str">
        <f>VLOOKUP($D$7,'Source Data'!$A$2:$EU$28,99,FALSE)</f>
        <v>≤ 2000</v>
      </c>
      <c r="G98" s="4"/>
    </row>
    <row r="99" spans="2:7" ht="40.15" customHeight="1">
      <c r="B99" s="80">
        <v>16.399999999999999</v>
      </c>
      <c r="C99" s="3" t="s">
        <v>270</v>
      </c>
      <c r="D99" s="54" t="s">
        <v>132</v>
      </c>
      <c r="E99" s="55" t="s">
        <v>271</v>
      </c>
      <c r="F99" s="3" t="str">
        <f>VLOOKUP($D$7,'Source Data'!$A$2:$EU$28,100,FALSE)</f>
        <v>≤ 3500</v>
      </c>
      <c r="G99" s="4"/>
    </row>
    <row r="100" spans="2:7" ht="40.15" customHeight="1">
      <c r="B100" s="80">
        <v>16.5</v>
      </c>
      <c r="C100" s="3"/>
      <c r="D100" s="54" t="s">
        <v>133</v>
      </c>
      <c r="E100" s="55" t="s">
        <v>272</v>
      </c>
      <c r="F100" s="3" t="str">
        <f>VLOOKUP($D$7,'Source Data'!$A$2:$EU$28,101,FALSE)</f>
        <v>xxxxxxxxxxx</v>
      </c>
      <c r="G100" s="4"/>
    </row>
    <row r="101" spans="2:7" ht="40.15" customHeight="1">
      <c r="B101" s="80">
        <v>16.600000000000001</v>
      </c>
      <c r="C101" s="3"/>
      <c r="D101" s="54" t="s">
        <v>134</v>
      </c>
      <c r="E101" s="55" t="s">
        <v>245</v>
      </c>
      <c r="F101" s="3">
        <f>VLOOKUP($D$7,'Source Data'!$A$2:$EU$28,102,FALSE)</f>
        <v>190</v>
      </c>
      <c r="G101" s="4"/>
    </row>
    <row r="102" spans="2:7" ht="45" customHeight="1">
      <c r="B102" s="80">
        <v>16.7</v>
      </c>
      <c r="C102" s="3" t="s">
        <v>273</v>
      </c>
      <c r="D102" s="54" t="s">
        <v>135</v>
      </c>
      <c r="E102" s="55" t="s">
        <v>245</v>
      </c>
      <c r="F102" s="3">
        <f>VLOOKUP($D$7,'Source Data'!$A$2:$EU$28,103,FALSE)</f>
        <v>100</v>
      </c>
      <c r="G102" s="4"/>
    </row>
    <row r="103" spans="2:7" ht="25.9" customHeight="1">
      <c r="B103" s="81">
        <v>17</v>
      </c>
      <c r="C103" s="3" t="s">
        <v>273</v>
      </c>
      <c r="D103" s="56" t="s">
        <v>136</v>
      </c>
      <c r="E103" s="55"/>
      <c r="F103" s="3"/>
      <c r="G103" s="4"/>
    </row>
    <row r="104" spans="2:7" ht="45" customHeight="1">
      <c r="B104" s="80">
        <v>17.100000000000001</v>
      </c>
      <c r="C104" s="3"/>
      <c r="D104" s="54" t="s">
        <v>137</v>
      </c>
      <c r="E104" s="55"/>
      <c r="F104" s="3" t="str">
        <f>VLOOKUP($D$7,'Source Data'!$A$2:$EU$28,105,FALSE)</f>
        <v>No</v>
      </c>
      <c r="G104" s="4" t="s">
        <v>178</v>
      </c>
    </row>
    <row r="105" spans="2:7" ht="45" customHeight="1">
      <c r="B105" s="80" t="s">
        <v>274</v>
      </c>
      <c r="C105" s="83"/>
      <c r="D105" s="54" t="s">
        <v>138</v>
      </c>
      <c r="E105" s="55"/>
      <c r="F105" s="3" t="str">
        <f>VLOOKUP($D$7,'Source Data'!$A$2:$EU$28,106,FALSE)</f>
        <v>N/A</v>
      </c>
      <c r="G105" s="4" t="s">
        <v>178</v>
      </c>
    </row>
    <row r="106" spans="2:7" ht="45" customHeight="1">
      <c r="B106" s="80" t="s">
        <v>275</v>
      </c>
      <c r="C106" s="83"/>
      <c r="D106" s="58" t="s">
        <v>139</v>
      </c>
      <c r="E106" s="55"/>
      <c r="F106" s="3" t="str">
        <f>VLOOKUP($D$7,'Source Data'!$A$2:$EU$28,107,FALSE)</f>
        <v>N/A</v>
      </c>
      <c r="G106" s="4" t="s">
        <v>178</v>
      </c>
    </row>
    <row r="107" spans="2:7" ht="45" customHeight="1">
      <c r="B107" s="80" t="s">
        <v>276</v>
      </c>
      <c r="C107" s="83"/>
      <c r="D107" s="58" t="s">
        <v>140</v>
      </c>
      <c r="E107" s="55"/>
      <c r="F107" s="3" t="str">
        <f>VLOOKUP($D$7,'Source Data'!$A$2:$EU$28,108,FALSE)</f>
        <v>N/A</v>
      </c>
      <c r="G107" s="4" t="s">
        <v>178</v>
      </c>
    </row>
    <row r="108" spans="2:7" ht="45" customHeight="1">
      <c r="B108" s="80" t="s">
        <v>277</v>
      </c>
      <c r="C108" s="83"/>
      <c r="D108" s="58" t="s">
        <v>141</v>
      </c>
      <c r="E108" s="55"/>
      <c r="F108" s="3" t="str">
        <f>VLOOKUP($D$7,'Source Data'!$A$2:$EU$28,109,FALSE)</f>
        <v>N/A</v>
      </c>
      <c r="G108" s="4"/>
    </row>
    <row r="109" spans="2:7" ht="45" customHeight="1">
      <c r="B109" s="80">
        <v>17.2</v>
      </c>
      <c r="C109" s="3"/>
      <c r="D109" s="54" t="s">
        <v>142</v>
      </c>
      <c r="E109" s="55" t="s">
        <v>245</v>
      </c>
      <c r="F109" s="3" t="str">
        <f>VLOOKUP($D$7,'Source Data'!$A$2:$EU$28,110,FALSE)</f>
        <v>N/A</v>
      </c>
      <c r="G109" s="4" t="s">
        <v>178</v>
      </c>
    </row>
    <row r="110" spans="2:7" ht="45" customHeight="1">
      <c r="B110" s="80">
        <v>17.3</v>
      </c>
      <c r="C110" s="3"/>
      <c r="D110" s="54" t="s">
        <v>143</v>
      </c>
      <c r="E110" s="55" t="s">
        <v>245</v>
      </c>
      <c r="F110" s="3" t="str">
        <f>VLOOKUP($D$7,'Source Data'!$A$2:$EU$28,111,FALSE)</f>
        <v>N/A</v>
      </c>
      <c r="G110" s="4" t="s">
        <v>178</v>
      </c>
    </row>
    <row r="111" spans="2:7" ht="45" customHeight="1">
      <c r="B111" s="80">
        <v>17.399999999999999</v>
      </c>
      <c r="C111" s="3"/>
      <c r="D111" s="54" t="s">
        <v>144</v>
      </c>
      <c r="E111" s="55" t="s">
        <v>245</v>
      </c>
      <c r="F111" s="3" t="str">
        <f>VLOOKUP($D$7,'Source Data'!$A$2:$EU$28,112,FALSE)</f>
        <v>N/A</v>
      </c>
      <c r="G111" s="4" t="s">
        <v>178</v>
      </c>
    </row>
    <row r="112" spans="2:7" ht="45" customHeight="1">
      <c r="B112" s="80">
        <v>17.5</v>
      </c>
      <c r="C112" s="3"/>
      <c r="D112" s="54" t="s">
        <v>145</v>
      </c>
      <c r="E112" s="55" t="s">
        <v>245</v>
      </c>
      <c r="F112" s="3" t="str">
        <f>VLOOKUP($D$7,'Source Data'!$A$2:$EU$28,113,FALSE)</f>
        <v>N/A</v>
      </c>
      <c r="G112" s="4" t="s">
        <v>178</v>
      </c>
    </row>
    <row r="113" spans="2:7" ht="45" customHeight="1">
      <c r="B113" s="80">
        <v>17.600000000000001</v>
      </c>
      <c r="C113" s="3"/>
      <c r="D113" s="54" t="s">
        <v>146</v>
      </c>
      <c r="E113" s="55" t="s">
        <v>245</v>
      </c>
      <c r="F113" s="3" t="str">
        <f>VLOOKUP($D$7,'Source Data'!$A$2:$EU$28,114,FALSE)</f>
        <v>N/A</v>
      </c>
      <c r="G113" s="4" t="s">
        <v>178</v>
      </c>
    </row>
    <row r="114" spans="2:7" ht="45" customHeight="1">
      <c r="B114" s="81">
        <v>18</v>
      </c>
      <c r="C114" s="3" t="s">
        <v>278</v>
      </c>
      <c r="D114" s="56" t="s">
        <v>147</v>
      </c>
      <c r="E114" s="55"/>
      <c r="F114" s="3"/>
      <c r="G114" s="4"/>
    </row>
    <row r="115" spans="2:7" ht="45" customHeight="1">
      <c r="B115" s="80">
        <v>18.100000000000001</v>
      </c>
      <c r="C115" s="3"/>
      <c r="D115" s="54" t="s">
        <v>148</v>
      </c>
      <c r="E115" s="55"/>
      <c r="F115" s="3" t="str">
        <f>VLOOKUP($D$7,'Source Data'!$A$2:$EU$28,116,FALSE)</f>
        <v>Yes</v>
      </c>
      <c r="G115" s="4" t="s">
        <v>178</v>
      </c>
    </row>
    <row r="116" spans="2:7" ht="45" customHeight="1">
      <c r="B116" s="80">
        <v>18.2</v>
      </c>
      <c r="C116" s="3" t="s">
        <v>279</v>
      </c>
      <c r="D116" s="54" t="s">
        <v>149</v>
      </c>
      <c r="E116" s="55" t="s">
        <v>245</v>
      </c>
      <c r="F116" s="3">
        <f>VLOOKUP($D$7,'Source Data'!$A$2:$EU$28,117,FALSE)</f>
        <v>400</v>
      </c>
      <c r="G116" s="4"/>
    </row>
    <row r="117" spans="2:7" ht="45" customHeight="1">
      <c r="B117" s="80">
        <v>18.3</v>
      </c>
      <c r="C117" s="3" t="s">
        <v>279</v>
      </c>
      <c r="D117" s="54" t="s">
        <v>150</v>
      </c>
      <c r="E117" s="55" t="s">
        <v>245</v>
      </c>
      <c r="F117" s="3" t="str">
        <f>VLOOKUP($D$7,'Source Data'!$A$2:$EU$28,118,FALSE)</f>
        <v>xxxxxxxxxxx</v>
      </c>
      <c r="G117" s="4"/>
    </row>
    <row r="118" spans="2:7" ht="45" customHeight="1">
      <c r="B118" s="80">
        <v>18.399999999999999</v>
      </c>
      <c r="C118" s="3" t="s">
        <v>279</v>
      </c>
      <c r="D118" s="54" t="s">
        <v>151</v>
      </c>
      <c r="E118" s="55" t="s">
        <v>245</v>
      </c>
      <c r="F118" s="3" t="str">
        <f>VLOOKUP($D$7,'Source Data'!$A$2:$EU$28,119,FALSE)</f>
        <v>≥ 320</v>
      </c>
      <c r="G118" s="4"/>
    </row>
    <row r="119" spans="2:7" ht="45" customHeight="1">
      <c r="B119" s="80">
        <v>18.5</v>
      </c>
      <c r="C119" s="3" t="s">
        <v>279</v>
      </c>
      <c r="D119" s="54" t="s">
        <v>152</v>
      </c>
      <c r="E119" s="55" t="s">
        <v>245</v>
      </c>
      <c r="F119" s="3" t="str">
        <f>VLOOKUP($D$7,'Source Data'!$A$2:$EU$28,110,FALSE)</f>
        <v>N/A</v>
      </c>
      <c r="G119" s="4"/>
    </row>
    <row r="120" spans="2:7" ht="45" customHeight="1">
      <c r="B120" s="80">
        <v>18.600000000000001</v>
      </c>
      <c r="C120" s="3" t="s">
        <v>279</v>
      </c>
      <c r="D120" s="54" t="s">
        <v>145</v>
      </c>
      <c r="E120" s="55" t="s">
        <v>245</v>
      </c>
      <c r="F120" s="3" t="str">
        <f>VLOOKUP($D$7,'Source Data'!$A$2:$EU$28,111,FALSE)</f>
        <v>N/A</v>
      </c>
      <c r="G120" s="4"/>
    </row>
    <row r="121" spans="2:7" ht="45" customHeight="1">
      <c r="B121" s="81">
        <v>19</v>
      </c>
      <c r="C121" s="3" t="s">
        <v>280</v>
      </c>
      <c r="D121" s="56" t="s">
        <v>153</v>
      </c>
      <c r="E121" s="55"/>
      <c r="F121" s="3"/>
      <c r="G121" s="4"/>
    </row>
    <row r="122" spans="2:7" ht="45" customHeight="1">
      <c r="B122" s="80">
        <v>19.100000000000001</v>
      </c>
      <c r="C122" s="3"/>
      <c r="D122" s="54" t="s">
        <v>154</v>
      </c>
      <c r="E122" s="55"/>
      <c r="F122" s="3" t="str">
        <f>VLOOKUP($D$7,'Source Data'!$A$2:$EU$28,123,FALSE)</f>
        <v>Yes</v>
      </c>
      <c r="G122" s="4"/>
    </row>
    <row r="123" spans="2:7" ht="45" customHeight="1">
      <c r="B123" s="80">
        <v>19.2</v>
      </c>
      <c r="C123" s="3"/>
      <c r="D123" s="54" t="s">
        <v>155</v>
      </c>
      <c r="E123" s="55" t="s">
        <v>245</v>
      </c>
      <c r="F123" s="3" t="str">
        <f>VLOOKUP($D$7,'Source Data'!$A$2:$EU$28,124,FALSE)</f>
        <v xml:space="preserve">≥ 30 </v>
      </c>
      <c r="G123" s="4"/>
    </row>
    <row r="124" spans="2:7" ht="45" customHeight="1">
      <c r="B124" s="81">
        <v>20</v>
      </c>
      <c r="C124" s="3" t="s">
        <v>281</v>
      </c>
      <c r="D124" s="56" t="s">
        <v>156</v>
      </c>
      <c r="E124" s="55"/>
      <c r="F124" s="3"/>
      <c r="G124" s="4"/>
    </row>
    <row r="125" spans="2:7" ht="45" customHeight="1">
      <c r="B125" s="80">
        <v>20.100000000000001</v>
      </c>
      <c r="C125" s="3"/>
      <c r="D125" s="54" t="s">
        <v>157</v>
      </c>
      <c r="E125" s="55"/>
      <c r="F125" s="3" t="str">
        <f>VLOOKUP($D$7,'Source Data'!$A$2:$EU$28,126,FALSE)</f>
        <v>316 Stainless Steel or Mild Steel</v>
      </c>
      <c r="G125" s="4"/>
    </row>
    <row r="126" spans="2:7" ht="45" customHeight="1">
      <c r="B126" s="80">
        <v>20.2</v>
      </c>
      <c r="C126" s="3"/>
      <c r="D126" s="54" t="s">
        <v>158</v>
      </c>
      <c r="E126" s="55" t="s">
        <v>245</v>
      </c>
      <c r="F126" s="3" t="str">
        <f>VLOOKUP($D$7,'Source Data'!$A$2:$EU$28,127,FALSE)</f>
        <v>≥ 30</v>
      </c>
      <c r="G126" s="4"/>
    </row>
    <row r="127" spans="2:7" ht="45" customHeight="1">
      <c r="B127" s="80">
        <v>20.3</v>
      </c>
      <c r="C127" s="3"/>
      <c r="D127" s="54" t="s">
        <v>159</v>
      </c>
      <c r="E127" s="55"/>
      <c r="F127" s="3" t="str">
        <f>VLOOKUP($D$7,'Source Data'!$A$2:$EU$28,128,FALSE)</f>
        <v>316 Stainless Steel or Mild Steel</v>
      </c>
      <c r="G127" s="4"/>
    </row>
    <row r="128" spans="2:7" ht="45" customHeight="1">
      <c r="B128" s="80">
        <v>20.399999999999999</v>
      </c>
      <c r="C128" s="3"/>
      <c r="D128" s="54" t="s">
        <v>160</v>
      </c>
      <c r="E128" s="55" t="s">
        <v>245</v>
      </c>
      <c r="F128" s="3" t="str">
        <f>VLOOKUP($D$7,'Source Data'!$A$2:$EU$28,129,FALSE)</f>
        <v xml:space="preserve">M12 x 25 </v>
      </c>
      <c r="G128" s="4"/>
    </row>
    <row r="129" spans="2:7" ht="45" customHeight="1">
      <c r="B129" s="80">
        <v>20.5</v>
      </c>
      <c r="C129" s="3"/>
      <c r="D129" s="54" t="s">
        <v>161</v>
      </c>
      <c r="E129" s="55"/>
      <c r="F129" s="3" t="str">
        <f>VLOOKUP($D$7,'Source Data'!$A$2:$EU$28,130,FALSE)</f>
        <v>Yes</v>
      </c>
      <c r="G129" s="4"/>
    </row>
    <row r="130" spans="2:7" ht="45" customHeight="1">
      <c r="B130" s="81">
        <v>21</v>
      </c>
      <c r="C130" s="3" t="s">
        <v>282</v>
      </c>
      <c r="D130" s="56" t="s">
        <v>162</v>
      </c>
      <c r="E130" s="55"/>
      <c r="F130" s="3"/>
      <c r="G130" s="4"/>
    </row>
    <row r="131" spans="2:7" ht="45" customHeight="1">
      <c r="B131" s="80">
        <v>21.1</v>
      </c>
      <c r="C131" s="3"/>
      <c r="D131" s="54" t="s">
        <v>163</v>
      </c>
      <c r="E131" s="55"/>
      <c r="F131" s="3" t="str">
        <f>VLOOKUP($D$7,'Source Data'!$A$2:$EU$28,132,FALSE)</f>
        <v>Yes</v>
      </c>
      <c r="G131" s="4"/>
    </row>
    <row r="132" spans="2:7" ht="45" customHeight="1">
      <c r="B132" s="80">
        <v>21.2</v>
      </c>
      <c r="C132" s="3" t="s">
        <v>283</v>
      </c>
      <c r="D132" s="54" t="s">
        <v>145</v>
      </c>
      <c r="E132" s="55" t="s">
        <v>245</v>
      </c>
      <c r="F132" s="3">
        <f>VLOOKUP($D$7,'Source Data'!$A$2:$EU$28,133,FALSE)</f>
        <v>14</v>
      </c>
      <c r="G132" s="4"/>
    </row>
    <row r="133" spans="2:7" ht="45" customHeight="1">
      <c r="B133" s="80">
        <v>21.3</v>
      </c>
      <c r="C133" s="3" t="s">
        <v>283</v>
      </c>
      <c r="D133" s="54" t="s">
        <v>164</v>
      </c>
      <c r="E133" s="55" t="s">
        <v>245</v>
      </c>
      <c r="F133" s="3" t="str">
        <f>VLOOKUP($D$7,'Source Data'!$A$2:$EU$28,134,FALSE)</f>
        <v>≥ 200</v>
      </c>
      <c r="G133" s="4"/>
    </row>
    <row r="134" spans="2:7" ht="45" customHeight="1">
      <c r="B134" s="80">
        <v>21.4</v>
      </c>
      <c r="C134" s="3" t="s">
        <v>283</v>
      </c>
      <c r="D134" s="54" t="s">
        <v>165</v>
      </c>
      <c r="E134" s="55" t="s">
        <v>245</v>
      </c>
      <c r="F134" s="3" t="str">
        <f>VLOOKUP($D$7,'Source Data'!$A$2:$EU$28,135,FALSE)</f>
        <v>≥ 190</v>
      </c>
      <c r="G134" s="4"/>
    </row>
    <row r="135" spans="2:7" ht="45" customHeight="1">
      <c r="B135" s="80">
        <v>21.5</v>
      </c>
      <c r="C135" s="3" t="s">
        <v>283</v>
      </c>
      <c r="D135" s="54" t="s">
        <v>166</v>
      </c>
      <c r="E135" s="55" t="s">
        <v>245</v>
      </c>
      <c r="F135" s="3" t="str">
        <f>VLOOKUP($D$7,'Source Data'!$A$2:$EU$28,136,FALSE)</f>
        <v>≥ 150</v>
      </c>
      <c r="G135" s="4"/>
    </row>
    <row r="136" spans="2:7" ht="45" customHeight="1">
      <c r="B136" s="81">
        <v>22</v>
      </c>
      <c r="C136" s="60">
        <v>3.4</v>
      </c>
      <c r="D136" s="61" t="s">
        <v>173</v>
      </c>
      <c r="E136" s="62"/>
      <c r="F136" s="60"/>
      <c r="G136" s="63"/>
    </row>
    <row r="137" spans="2:7" ht="45" customHeight="1">
      <c r="B137" s="80">
        <v>22.1</v>
      </c>
      <c r="C137" s="3"/>
      <c r="D137" s="64" t="s">
        <v>174</v>
      </c>
      <c r="E137" s="55"/>
      <c r="F137" s="3"/>
      <c r="G137" s="4"/>
    </row>
    <row r="138" spans="2:7" ht="45" customHeight="1">
      <c r="B138" s="80">
        <v>22.2</v>
      </c>
      <c r="C138" s="3"/>
      <c r="D138" s="64" t="s">
        <v>169</v>
      </c>
      <c r="E138" s="55"/>
      <c r="F138" s="3" t="str">
        <f>VLOOKUP($D$7,'Source Data'!$A$2:$EU$28,145,FALSE)</f>
        <v>xxxxxxxxxxx</v>
      </c>
      <c r="G138" s="4"/>
    </row>
    <row r="139" spans="2:7" ht="45" customHeight="1">
      <c r="B139" s="80">
        <v>22.3</v>
      </c>
      <c r="C139" s="3"/>
      <c r="D139" s="64" t="s">
        <v>170</v>
      </c>
      <c r="E139" s="55"/>
      <c r="F139" s="3" t="str">
        <f>VLOOKUP($D$7,'Source Data'!$A$2:$EU$28,146,FALSE)</f>
        <v>xxxxxxxxxxx</v>
      </c>
      <c r="G139" s="4"/>
    </row>
    <row r="140" spans="2:7" ht="45" customHeight="1">
      <c r="B140" s="80">
        <v>22.4</v>
      </c>
      <c r="C140" s="84"/>
      <c r="D140" s="64" t="s">
        <v>171</v>
      </c>
      <c r="E140" s="65"/>
      <c r="F140" s="3" t="str">
        <f>VLOOKUP($D$7,'Source Data'!$A$2:$EU$28,147,FALSE)</f>
        <v>xxxxxxxxxxx</v>
      </c>
      <c r="G140" s="66"/>
    </row>
    <row r="141" spans="2:7" ht="45" customHeight="1">
      <c r="B141" s="80">
        <v>22.5</v>
      </c>
      <c r="C141" s="84"/>
      <c r="D141" s="64" t="s">
        <v>172</v>
      </c>
      <c r="E141" s="65"/>
      <c r="F141" s="3" t="str">
        <f>VLOOKUP($D$7,'Source Data'!$A$2:$EU$28,148,FALSE)</f>
        <v>Azure Blue</v>
      </c>
      <c r="G141" s="66"/>
    </row>
    <row r="142" spans="2:7" ht="151.15">
      <c r="B142" s="85">
        <v>23</v>
      </c>
      <c r="C142" s="84">
        <v>4.2</v>
      </c>
      <c r="D142" s="61" t="s">
        <v>284</v>
      </c>
      <c r="E142" s="65"/>
      <c r="F142" s="3" t="str">
        <f>VLOOKUP($D$7,'Source Data'!$A$2:$EU$28,149,FALSE)</f>
        <v>Report Numbers</v>
      </c>
      <c r="G142" s="66"/>
    </row>
    <row r="143" spans="2:7" ht="241.9" thickBot="1">
      <c r="B143" s="86">
        <v>24</v>
      </c>
      <c r="C143" s="67">
        <v>4.3</v>
      </c>
      <c r="D143" s="68" t="s">
        <v>285</v>
      </c>
      <c r="E143" s="69"/>
      <c r="F143" s="67" t="str">
        <f>VLOOKUP($D$7,'Source Data'!$A$2:$EU$28,150,FALSE)</f>
        <v>Report Numbers</v>
      </c>
      <c r="G143" s="70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&amp;CSWER Isolation, 400kVA 11kV/ 19kV* (Coastal, Ester Oil Only)</oddHeader>
  </headerFooter>
  <rowBreaks count="4" manualBreakCount="4">
    <brk id="37" min="1" max="6" man="1"/>
    <brk id="68" min="1" max="6" man="1"/>
    <brk id="102" min="1" max="6" man="1"/>
    <brk id="123" min="1" max="6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02A32-2D05-4707-B2C0-E23B2802BE4E}">
  <sheetPr>
    <pageSetUpPr fitToPage="1"/>
  </sheetPr>
  <dimension ref="B1:G143"/>
  <sheetViews>
    <sheetView topLeftCell="A73" zoomScale="85" zoomScaleNormal="85" zoomScaleSheetLayoutView="70" workbookViewId="0">
      <selection activeCell="D79" sqref="D79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28" bestFit="1" customWidth="1"/>
    <col min="6" max="6" width="22.85546875" customWidth="1"/>
    <col min="7" max="7" width="30.85546875" customWidth="1"/>
  </cols>
  <sheetData>
    <row r="1" spans="2:7" ht="15" thickBot="1"/>
    <row r="2" spans="2:7">
      <c r="B2" s="29"/>
      <c r="C2" s="30"/>
      <c r="D2" s="30"/>
      <c r="E2" s="31"/>
      <c r="F2" s="30"/>
      <c r="G2" s="32"/>
    </row>
    <row r="3" spans="2:7">
      <c r="B3" s="33"/>
      <c r="C3" s="34"/>
      <c r="D3" s="34"/>
      <c r="E3" s="35"/>
      <c r="F3" s="91" t="s">
        <v>226</v>
      </c>
      <c r="G3" s="92"/>
    </row>
    <row r="4" spans="2:7">
      <c r="B4" s="33"/>
      <c r="C4" s="34"/>
      <c r="D4" s="34"/>
      <c r="E4" s="35"/>
      <c r="F4" s="91" t="str">
        <f>'List of Items &amp; Enquiry number'!B14</f>
        <v>Enquiry Number: 123456XYZ</v>
      </c>
      <c r="G4" s="92"/>
    </row>
    <row r="5" spans="2:7">
      <c r="B5" s="33"/>
      <c r="C5" s="34"/>
      <c r="D5" s="34"/>
      <c r="E5" s="35"/>
      <c r="F5" s="34"/>
      <c r="G5" s="36"/>
    </row>
    <row r="6" spans="2:7" ht="28.9">
      <c r="B6" s="37"/>
      <c r="C6" s="38"/>
      <c r="D6" s="39" t="s">
        <v>227</v>
      </c>
      <c r="E6" s="40"/>
      <c r="F6" s="41"/>
      <c r="G6" s="42"/>
    </row>
    <row r="7" spans="2:7">
      <c r="B7" s="33"/>
      <c r="C7" s="34"/>
      <c r="D7" s="43" t="s">
        <v>49</v>
      </c>
      <c r="E7" s="35"/>
      <c r="F7" s="34"/>
      <c r="G7" s="36"/>
    </row>
    <row r="8" spans="2:7">
      <c r="B8" s="33"/>
      <c r="C8" s="34"/>
      <c r="D8" s="76" t="s">
        <v>228</v>
      </c>
      <c r="E8" s="34"/>
      <c r="F8" s="93" t="s">
        <v>229</v>
      </c>
      <c r="G8" s="94"/>
    </row>
    <row r="9" spans="2:7">
      <c r="B9" s="44" t="s">
        <v>230</v>
      </c>
      <c r="C9" s="1"/>
      <c r="D9" s="1"/>
      <c r="E9" s="1"/>
      <c r="F9" s="93"/>
      <c r="G9" s="94"/>
    </row>
    <row r="10" spans="2:7" ht="15" thickBot="1">
      <c r="B10" s="97" t="s">
        <v>231</v>
      </c>
      <c r="C10" s="98"/>
      <c r="D10" s="98"/>
      <c r="E10" s="45"/>
      <c r="F10" s="95"/>
      <c r="G10" s="96"/>
    </row>
    <row r="11" spans="2:7" ht="28.15" customHeight="1" thickBot="1">
      <c r="B11" s="49" t="s">
        <v>232</v>
      </c>
      <c r="C11" s="78" t="s">
        <v>233</v>
      </c>
      <c r="D11" s="47" t="s">
        <v>15</v>
      </c>
      <c r="E11" s="48"/>
      <c r="F11" s="49" t="s">
        <v>234</v>
      </c>
      <c r="G11" s="46" t="s">
        <v>235</v>
      </c>
    </row>
    <row r="12" spans="2:7" ht="21" customHeight="1">
      <c r="B12" s="79">
        <v>1</v>
      </c>
      <c r="C12" s="50"/>
      <c r="D12" s="51" t="s">
        <v>54</v>
      </c>
      <c r="E12" s="52"/>
      <c r="F12" s="50"/>
      <c r="G12" s="53"/>
    </row>
    <row r="13" spans="2:7" ht="45" customHeight="1">
      <c r="B13" s="80">
        <v>1.1000000000000001</v>
      </c>
      <c r="C13" s="3"/>
      <c r="D13" s="54" t="s">
        <v>55</v>
      </c>
      <c r="E13" s="55"/>
      <c r="F13" s="3" t="str">
        <f>VLOOKUP($D$7,'Source Data'!$A$2:$EU$28,3,FALSE)</f>
        <v>xxxxxxxxxxx</v>
      </c>
      <c r="G13" s="4"/>
    </row>
    <row r="14" spans="2:7" ht="45" customHeight="1">
      <c r="B14" s="80">
        <v>1.2000000000000002</v>
      </c>
      <c r="C14" s="3"/>
      <c r="D14" s="54" t="s">
        <v>56</v>
      </c>
      <c r="E14" s="55"/>
      <c r="F14" s="3" t="str">
        <f>VLOOKUP($D$7,'Source Data'!$A$2:$EU$28,4,FALSE)</f>
        <v>xxxxxxxxxxx</v>
      </c>
      <c r="G14" s="4"/>
    </row>
    <row r="15" spans="2:7" ht="45" customHeight="1">
      <c r="B15" s="80">
        <v>1.3</v>
      </c>
      <c r="C15" s="3"/>
      <c r="D15" s="54" t="s">
        <v>58</v>
      </c>
      <c r="E15" s="55"/>
      <c r="F15" s="3" t="str">
        <f>VLOOKUP($D$7,'Source Data'!$A$2:$EU$28,6,FALSE)</f>
        <v>xxxxxxxxxxx</v>
      </c>
      <c r="G15" s="4"/>
    </row>
    <row r="16" spans="2:7" ht="45" customHeight="1">
      <c r="B16" s="80">
        <v>1.4</v>
      </c>
      <c r="C16" s="3"/>
      <c r="D16" s="54" t="s">
        <v>236</v>
      </c>
      <c r="E16" s="55"/>
      <c r="F16" s="3" t="str">
        <f>VLOOKUP($D$7,'Source Data'!$A$2:$EU$28,7,FALSE)</f>
        <v>xxxxxxxxxxx</v>
      </c>
      <c r="G16" s="4"/>
    </row>
    <row r="17" spans="2:7" ht="45" customHeight="1">
      <c r="B17" s="80">
        <v>1.5</v>
      </c>
      <c r="C17" s="3"/>
      <c r="D17" s="54" t="s">
        <v>237</v>
      </c>
      <c r="E17" s="55"/>
      <c r="F17" s="3" t="str">
        <f>VLOOKUP($D$7,'Source Data'!$A$2:$EU$28,8,FALSE)</f>
        <v>xxxxxxxxxxx</v>
      </c>
      <c r="G17" s="4"/>
    </row>
    <row r="18" spans="2:7" ht="45" customHeight="1">
      <c r="B18" s="80">
        <v>1.6</v>
      </c>
      <c r="C18" s="3"/>
      <c r="D18" s="54" t="s">
        <v>61</v>
      </c>
      <c r="E18" s="55"/>
      <c r="F18" s="3" t="str">
        <f>VLOOKUP($D$7,'Source Data'!$A$2:$EU$28,9,FALSE)</f>
        <v>Ester Oil</v>
      </c>
      <c r="G18" s="4"/>
    </row>
    <row r="19" spans="2:7" ht="24.6" customHeight="1">
      <c r="B19" s="81">
        <v>2</v>
      </c>
      <c r="C19" s="3" t="s">
        <v>238</v>
      </c>
      <c r="D19" s="56" t="s">
        <v>62</v>
      </c>
      <c r="E19" s="55"/>
      <c r="F19" s="3"/>
      <c r="G19" s="4"/>
    </row>
    <row r="20" spans="2:7" ht="45" customHeight="1">
      <c r="B20" s="80">
        <v>2.1</v>
      </c>
      <c r="C20" s="3"/>
      <c r="D20" s="54" t="s">
        <v>63</v>
      </c>
      <c r="E20" s="55" t="s">
        <v>239</v>
      </c>
      <c r="F20" s="3">
        <f>VLOOKUP($D$7,'Source Data'!$A$2:$EU$28,11,FALSE)</f>
        <v>400</v>
      </c>
      <c r="G20" s="4"/>
    </row>
    <row r="21" spans="2:7" ht="45" customHeight="1">
      <c r="B21" s="80">
        <v>2.2000000000000002</v>
      </c>
      <c r="C21" s="3"/>
      <c r="D21" s="54" t="s">
        <v>64</v>
      </c>
      <c r="E21" s="55" t="s">
        <v>240</v>
      </c>
      <c r="F21" s="3">
        <f>VLOOKUP($D$7,'Source Data'!$A$2:$EU$28,12,FALSE)</f>
        <v>22</v>
      </c>
      <c r="G21" s="4"/>
    </row>
    <row r="22" spans="2:7" ht="45" customHeight="1">
      <c r="B22" s="80">
        <v>2.3000000000000003</v>
      </c>
      <c r="C22" s="3"/>
      <c r="D22" s="54" t="s">
        <v>241</v>
      </c>
      <c r="E22" s="55" t="s">
        <v>240</v>
      </c>
      <c r="F22" s="3">
        <f>VLOOKUP($D$7,'Source Data'!$A$2:$EU$28,13,FALSE)</f>
        <v>19</v>
      </c>
      <c r="G22" s="4"/>
    </row>
    <row r="23" spans="2:7" ht="45" customHeight="1">
      <c r="B23" s="80">
        <v>2.4000000000000004</v>
      </c>
      <c r="C23" s="3"/>
      <c r="D23" s="54" t="s">
        <v>66</v>
      </c>
      <c r="E23" s="55" t="s">
        <v>242</v>
      </c>
      <c r="F23" s="3">
        <f>VLOOKUP($D$7,'Source Data'!$A$2:$EU$28,14,FALSE)</f>
        <v>50</v>
      </c>
      <c r="G23" s="4"/>
    </row>
    <row r="24" spans="2:7" ht="45" customHeight="1">
      <c r="B24" s="80">
        <v>2.5</v>
      </c>
      <c r="C24" s="3"/>
      <c r="D24" s="54" t="s">
        <v>67</v>
      </c>
      <c r="E24" s="55"/>
      <c r="F24" s="3" t="str">
        <f>VLOOKUP($D$7,'Source Data'!$A$2:$EU$28,15,FALSE)</f>
        <v>1ph</v>
      </c>
      <c r="G24" s="4"/>
    </row>
    <row r="25" spans="2:7" ht="45" customHeight="1">
      <c r="B25" s="80">
        <v>2.6</v>
      </c>
      <c r="C25" s="3"/>
      <c r="D25" s="54" t="s">
        <v>68</v>
      </c>
      <c r="E25" s="55"/>
      <c r="F25" s="3" t="str">
        <f>VLOOKUP($D$7,'Source Data'!$A$2:$EU$28,16,FALSE)</f>
        <v>N/A</v>
      </c>
      <c r="G25" s="4" t="s">
        <v>178</v>
      </c>
    </row>
    <row r="26" spans="2:7" ht="24.6" customHeight="1">
      <c r="B26" s="81">
        <v>3</v>
      </c>
      <c r="C26" s="3" t="s">
        <v>243</v>
      </c>
      <c r="D26" s="56" t="s">
        <v>69</v>
      </c>
      <c r="E26" s="55"/>
      <c r="F26" s="3"/>
      <c r="G26" s="4"/>
    </row>
    <row r="27" spans="2:7" ht="45" customHeight="1">
      <c r="B27" s="80">
        <v>3.1</v>
      </c>
      <c r="C27" s="3"/>
      <c r="D27" s="54" t="s">
        <v>70</v>
      </c>
      <c r="E27" s="55" t="s">
        <v>240</v>
      </c>
      <c r="F27" s="3">
        <f>VLOOKUP($D$7,'Source Data'!$A$2:$EU$28,18,FALSE)</f>
        <v>150</v>
      </c>
      <c r="G27" s="4"/>
    </row>
    <row r="28" spans="2:7" ht="45" customHeight="1">
      <c r="B28" s="80">
        <v>3.2</v>
      </c>
      <c r="C28" s="3"/>
      <c r="D28" s="54" t="s">
        <v>71</v>
      </c>
      <c r="E28" s="55" t="s">
        <v>240</v>
      </c>
      <c r="F28" s="3">
        <f>VLOOKUP($D$7,'Source Data'!$A$2:$EU$28,19,FALSE)</f>
        <v>200</v>
      </c>
      <c r="G28" s="4"/>
    </row>
    <row r="29" spans="2:7" ht="45" customHeight="1">
      <c r="B29" s="80">
        <v>3.3</v>
      </c>
      <c r="C29" s="3"/>
      <c r="D29" s="54" t="s">
        <v>72</v>
      </c>
      <c r="E29" s="55" t="s">
        <v>240</v>
      </c>
      <c r="F29" s="3">
        <f>VLOOKUP($D$7,'Source Data'!$A$2:$EU$28,20,FALSE)</f>
        <v>30</v>
      </c>
      <c r="G29" s="4"/>
    </row>
    <row r="30" spans="2:7" ht="45" customHeight="1">
      <c r="B30" s="80">
        <v>3.4</v>
      </c>
      <c r="C30" s="3"/>
      <c r="D30" s="54" t="s">
        <v>73</v>
      </c>
      <c r="E30" s="55" t="s">
        <v>240</v>
      </c>
      <c r="F30" s="3">
        <f>VLOOKUP($D$7,'Source Data'!$A$2:$EU$28,21,FALSE)</f>
        <v>50</v>
      </c>
      <c r="G30" s="4"/>
    </row>
    <row r="31" spans="2:7" ht="45" customHeight="1">
      <c r="B31" s="80">
        <v>3.5</v>
      </c>
      <c r="C31" s="3"/>
      <c r="D31" s="54" t="s">
        <v>74</v>
      </c>
      <c r="E31" s="55" t="s">
        <v>240</v>
      </c>
      <c r="F31" s="3">
        <f>VLOOKUP($D$7,'Source Data'!$A$2:$EU$28,22,FALSE)</f>
        <v>8</v>
      </c>
      <c r="G31" s="4"/>
    </row>
    <row r="32" spans="2:7" ht="33" customHeight="1">
      <c r="B32" s="81">
        <v>4</v>
      </c>
      <c r="C32" s="3" t="s">
        <v>244</v>
      </c>
      <c r="D32" s="56" t="s">
        <v>75</v>
      </c>
      <c r="E32" s="55"/>
      <c r="F32" s="3"/>
      <c r="G32" s="4"/>
    </row>
    <row r="33" spans="2:7" ht="45" customHeight="1">
      <c r="B33" s="80">
        <v>4.0999999999999996</v>
      </c>
      <c r="C33" s="3"/>
      <c r="D33" s="54" t="s">
        <v>76</v>
      </c>
      <c r="E33" s="55"/>
      <c r="F33" s="3" t="str">
        <f>VLOOKUP($D$7,'Source Data'!$A$2:$EU$28,24,FALSE)</f>
        <v>xxxxxxxxxxx</v>
      </c>
      <c r="G33" s="4"/>
    </row>
    <row r="34" spans="2:7" ht="45" customHeight="1">
      <c r="B34" s="80">
        <v>4.1999999999999993</v>
      </c>
      <c r="C34" s="3"/>
      <c r="D34" s="54" t="s">
        <v>77</v>
      </c>
      <c r="E34" s="55"/>
      <c r="F34" s="3" t="str">
        <f>VLOOKUP($D$7,'Source Data'!$A$2:$EU$28,25,FALSE)</f>
        <v>Grade 3</v>
      </c>
      <c r="G34" s="4"/>
    </row>
    <row r="35" spans="2:7" ht="45" customHeight="1">
      <c r="B35" s="80">
        <v>4.3</v>
      </c>
      <c r="C35" s="3"/>
      <c r="D35" s="54" t="s">
        <v>78</v>
      </c>
      <c r="E35" s="55" t="s">
        <v>245</v>
      </c>
      <c r="F35" s="3" t="str">
        <f>VLOOKUP($D$7,'Source Data'!$A$2:$EU$28,26,FALSE)</f>
        <v>&gt; 0.125</v>
      </c>
      <c r="G35" s="4"/>
    </row>
    <row r="36" spans="2:7" ht="45" customHeight="1">
      <c r="B36" s="80">
        <v>4.3999999999999995</v>
      </c>
      <c r="C36" s="3"/>
      <c r="D36" s="54" t="s">
        <v>79</v>
      </c>
      <c r="E36" s="55"/>
      <c r="F36" s="3" t="str">
        <f>VLOOKUP($D$7,'Source Data'!$A$2:$EU$28,27,FALSE)</f>
        <v>xxxxxxxxxxx</v>
      </c>
      <c r="G36" s="4"/>
    </row>
    <row r="37" spans="2:7" ht="45" customHeight="1">
      <c r="B37" s="80">
        <v>4.5</v>
      </c>
      <c r="C37" s="3"/>
      <c r="D37" s="54" t="s">
        <v>80</v>
      </c>
      <c r="E37" s="55"/>
      <c r="F37" s="3" t="str">
        <f>VLOOKUP($D$7,'Source Data'!$A$2:$EU$28,28,FALSE)</f>
        <v>xxxxxxxxxxx</v>
      </c>
      <c r="G37" s="4"/>
    </row>
    <row r="38" spans="2:7" ht="45" customHeight="1">
      <c r="B38" s="80">
        <v>4.5999999999999996</v>
      </c>
      <c r="C38" s="3"/>
      <c r="D38" s="54" t="s">
        <v>81</v>
      </c>
      <c r="E38" s="55" t="s">
        <v>240</v>
      </c>
      <c r="F38" s="3">
        <f>VLOOKUP($D$7,'Source Data'!$A$2:$EU$28,29,FALSE)</f>
        <v>21</v>
      </c>
      <c r="G38" s="4"/>
    </row>
    <row r="39" spans="2:7" ht="45" customHeight="1">
      <c r="B39" s="80">
        <v>4.7</v>
      </c>
      <c r="C39" s="3"/>
      <c r="D39" s="54" t="s">
        <v>82</v>
      </c>
      <c r="E39" s="55" t="s">
        <v>240</v>
      </c>
      <c r="F39" s="3">
        <f>VLOOKUP($D$7,'Source Data'!$A$2:$EU$28,30,FALSE)</f>
        <v>8</v>
      </c>
      <c r="G39" s="4"/>
    </row>
    <row r="40" spans="2:7" ht="45" customHeight="1">
      <c r="B40" s="80">
        <v>4.8</v>
      </c>
      <c r="C40" s="3"/>
      <c r="D40" s="54" t="s">
        <v>246</v>
      </c>
      <c r="E40" s="55" t="s">
        <v>247</v>
      </c>
      <c r="F40" s="3" t="str">
        <f>VLOOKUP($D$7,'Source Data'!$A$2:$EU$28,31,FALSE)</f>
        <v>&lt;5</v>
      </c>
      <c r="G40" s="4"/>
    </row>
    <row r="41" spans="2:7" ht="45" customHeight="1">
      <c r="B41" s="81">
        <v>5</v>
      </c>
      <c r="C41" s="3" t="s">
        <v>248</v>
      </c>
      <c r="D41" s="56" t="s">
        <v>84</v>
      </c>
      <c r="E41" s="55"/>
      <c r="F41" s="3"/>
      <c r="G41" s="4"/>
    </row>
    <row r="42" spans="2:7" ht="45" customHeight="1">
      <c r="B42" s="80">
        <v>5.0999999999999996</v>
      </c>
      <c r="C42" s="3"/>
      <c r="D42" s="54" t="s">
        <v>85</v>
      </c>
      <c r="E42" s="55" t="s">
        <v>247</v>
      </c>
      <c r="F42" s="3" t="str">
        <f>VLOOKUP($D$7,'Source Data'!$A$2:$EU$28,33,FALSE)</f>
        <v>&lt; 5</v>
      </c>
      <c r="G42" s="4"/>
    </row>
    <row r="43" spans="2:7" ht="45" customHeight="1">
      <c r="B43" s="80">
        <v>5.1999999999999993</v>
      </c>
      <c r="C43" s="3"/>
      <c r="D43" s="54" t="s">
        <v>86</v>
      </c>
      <c r="E43" s="55" t="s">
        <v>247</v>
      </c>
      <c r="F43" s="3" t="str">
        <f>VLOOKUP($D$7,'Source Data'!$A$2:$EU$28,34,FALSE)</f>
        <v xml:space="preserve">&lt; 5 </v>
      </c>
      <c r="G43" s="4"/>
    </row>
    <row r="44" spans="2:7" ht="45" customHeight="1">
      <c r="B44" s="80">
        <v>5.3</v>
      </c>
      <c r="C44" s="3"/>
      <c r="D44" s="54" t="s">
        <v>87</v>
      </c>
      <c r="E44" s="55"/>
      <c r="F44" s="3" t="str">
        <f>VLOOKUP($D$7,'Source Data'!$A$2:$EU$28,35,FALSE)</f>
        <v>xxxxxxxxxxx</v>
      </c>
      <c r="G44" s="4"/>
    </row>
    <row r="45" spans="2:7" ht="45" customHeight="1">
      <c r="B45" s="80">
        <v>5.3999999999999995</v>
      </c>
      <c r="C45" s="3"/>
      <c r="D45" s="54" t="s">
        <v>88</v>
      </c>
      <c r="E45" s="55"/>
      <c r="F45" s="3" t="str">
        <f>VLOOKUP($D$7,'Source Data'!$A$2:$EU$28,36,FALSE)</f>
        <v>xxxxxxxxxxx</v>
      </c>
      <c r="G45" s="4"/>
    </row>
    <row r="46" spans="2:7" ht="27" customHeight="1">
      <c r="B46" s="81">
        <v>6</v>
      </c>
      <c r="C46" s="3" t="s">
        <v>249</v>
      </c>
      <c r="D46" s="56" t="s">
        <v>89</v>
      </c>
      <c r="E46" s="55"/>
      <c r="F46" s="3"/>
      <c r="G46" s="4"/>
    </row>
    <row r="47" spans="2:7" ht="45" customHeight="1">
      <c r="B47" s="80">
        <v>6.1</v>
      </c>
      <c r="C47" s="3"/>
      <c r="D47" s="54" t="s">
        <v>90</v>
      </c>
      <c r="E47" s="55"/>
      <c r="F47" s="3" t="str">
        <f>VLOOKUP($D$7,'Source Data'!$A$2:$EU$28,38,FALSE)</f>
        <v>xxxxxxxxxxx</v>
      </c>
      <c r="G47" s="4" t="s">
        <v>178</v>
      </c>
    </row>
    <row r="48" spans="2:7" ht="31.15" customHeight="1">
      <c r="B48" s="81">
        <v>7</v>
      </c>
      <c r="C48" s="3" t="s">
        <v>250</v>
      </c>
      <c r="D48" s="56" t="s">
        <v>100</v>
      </c>
      <c r="E48" s="55"/>
      <c r="F48" s="3"/>
      <c r="G48" s="4"/>
    </row>
    <row r="49" spans="2:7" ht="45" customHeight="1">
      <c r="B49" s="80">
        <v>7.1</v>
      </c>
      <c r="C49" s="3"/>
      <c r="D49" s="54" t="s">
        <v>93</v>
      </c>
      <c r="E49" s="55"/>
      <c r="F49" s="3" t="str">
        <f>VLOOKUP($D$7,'Source Data'!$A$2:$EU$28,49,FALSE)</f>
        <v>xxxxxxxxxxx</v>
      </c>
      <c r="G49" s="4"/>
    </row>
    <row r="50" spans="2:7" ht="45" customHeight="1">
      <c r="B50" s="80">
        <v>7.2</v>
      </c>
      <c r="C50" s="3"/>
      <c r="D50" s="54" t="s">
        <v>94</v>
      </c>
      <c r="E50" s="55"/>
      <c r="F50" s="3" t="str">
        <f>VLOOKUP($D$7,'Source Data'!$A$2:$EU$28,50,FALSE)</f>
        <v>xxxxxxxxxxx</v>
      </c>
      <c r="G50" s="4"/>
    </row>
    <row r="51" spans="2:7" ht="45" customHeight="1">
      <c r="B51" s="80">
        <v>7.3</v>
      </c>
      <c r="C51" s="3"/>
      <c r="D51" s="54" t="s">
        <v>95</v>
      </c>
      <c r="E51" s="55"/>
      <c r="F51" s="3" t="str">
        <f>VLOOKUP($D$7,'Source Data'!$A$2:$EU$28,51,FALSE)</f>
        <v>xxxxxxxxxxx</v>
      </c>
      <c r="G51" s="4"/>
    </row>
    <row r="52" spans="2:7" ht="45" customHeight="1">
      <c r="B52" s="80">
        <v>7.4</v>
      </c>
      <c r="C52" s="3"/>
      <c r="D52" s="54" t="s">
        <v>96</v>
      </c>
      <c r="E52" s="55" t="s">
        <v>251</v>
      </c>
      <c r="F52" s="3" t="str">
        <f>VLOOKUP($D$7,'Source Data'!$A$2:$EU$28,52,FALSE)</f>
        <v>≥ 31</v>
      </c>
      <c r="G52" s="4"/>
    </row>
    <row r="53" spans="2:7" ht="45" customHeight="1">
      <c r="B53" s="80">
        <v>7.5</v>
      </c>
      <c r="C53" s="3"/>
      <c r="D53" s="54" t="s">
        <v>97</v>
      </c>
      <c r="E53" s="55"/>
      <c r="F53" s="3" t="str">
        <f>VLOOKUP($D$7,'Source Data'!$A$2:$EU$28,53,FALSE)</f>
        <v>Base</v>
      </c>
      <c r="G53" s="4"/>
    </row>
    <row r="54" spans="2:7" ht="45" customHeight="1">
      <c r="B54" s="80">
        <v>7.6</v>
      </c>
      <c r="C54" s="3"/>
      <c r="D54" s="54" t="s">
        <v>98</v>
      </c>
      <c r="E54" s="55"/>
      <c r="F54" s="3" t="str">
        <f>VLOOKUP($D$7,'Source Data'!$A$2:$EU$28,54,FALSE)</f>
        <v>Draw lead</v>
      </c>
      <c r="G54" s="4"/>
    </row>
    <row r="55" spans="2:7" ht="45" customHeight="1">
      <c r="B55" s="80">
        <v>7.7</v>
      </c>
      <c r="C55" s="3"/>
      <c r="D55" s="54" t="s">
        <v>99</v>
      </c>
      <c r="E55" s="55"/>
      <c r="F55" s="3" t="str">
        <f>VLOOKUP($D$7,'Source Data'!$A$2:$EU$28,55,FALSE)</f>
        <v>M12</v>
      </c>
      <c r="G55" s="4"/>
    </row>
    <row r="56" spans="2:7" ht="45" customHeight="1">
      <c r="B56" s="80">
        <v>7.8</v>
      </c>
      <c r="C56" s="3" t="s">
        <v>250</v>
      </c>
      <c r="D56" s="56" t="s">
        <v>101</v>
      </c>
      <c r="E56" s="55"/>
      <c r="F56" s="3"/>
      <c r="G56" s="4"/>
    </row>
    <row r="57" spans="2:7" ht="45" customHeight="1">
      <c r="B57" s="80">
        <v>7.9</v>
      </c>
      <c r="C57" s="3"/>
      <c r="D57" s="2" t="s">
        <v>93</v>
      </c>
      <c r="E57" s="55"/>
      <c r="F57" s="3" t="str">
        <f>VLOOKUP($D$7,'Source Data'!$A$2:$EU$28,57,FALSE)</f>
        <v>xxxxxxxxxxx</v>
      </c>
      <c r="G57" s="4"/>
    </row>
    <row r="58" spans="2:7" ht="45" customHeight="1">
      <c r="B58" s="82" t="s">
        <v>252</v>
      </c>
      <c r="C58" s="3"/>
      <c r="D58" s="2" t="s">
        <v>94</v>
      </c>
      <c r="E58" s="55"/>
      <c r="F58" s="3" t="str">
        <f>VLOOKUP($D$7,'Source Data'!$A$2:$EU$28,58,FALSE)</f>
        <v>xxxxxxxxxxx</v>
      </c>
      <c r="G58" s="4"/>
    </row>
    <row r="59" spans="2:7" ht="45" customHeight="1">
      <c r="B59" s="82" t="s">
        <v>253</v>
      </c>
      <c r="C59" s="3"/>
      <c r="D59" s="2" t="s">
        <v>95</v>
      </c>
      <c r="E59" s="55"/>
      <c r="F59" s="3" t="str">
        <f>VLOOKUP($D$7,'Source Data'!$A$2:$EU$28,59,FALSE)</f>
        <v>xxxxxxxxxxx</v>
      </c>
      <c r="G59" s="4"/>
    </row>
    <row r="60" spans="2:7" ht="45" customHeight="1">
      <c r="B60" s="82" t="s">
        <v>254</v>
      </c>
      <c r="C60" s="3"/>
      <c r="D60" s="2" t="s">
        <v>96</v>
      </c>
      <c r="E60" s="55"/>
      <c r="F60" s="3" t="str">
        <f>VLOOKUP($D$7,'Source Data'!$A$2:$EU$28,60,FALSE)</f>
        <v>≥ 31</v>
      </c>
      <c r="G60" s="4"/>
    </row>
    <row r="61" spans="2:7" ht="45" customHeight="1">
      <c r="B61" s="82" t="s">
        <v>255</v>
      </c>
      <c r="C61" s="3"/>
      <c r="D61" s="2" t="s">
        <v>97</v>
      </c>
      <c r="E61" s="55"/>
      <c r="F61" s="3" t="str">
        <f>VLOOKUP($D$7,'Source Data'!$A$2:$EU$28,61,FALSE)</f>
        <v>Base</v>
      </c>
      <c r="G61" s="4"/>
    </row>
    <row r="62" spans="2:7" ht="45" customHeight="1">
      <c r="B62" s="82" t="s">
        <v>256</v>
      </c>
      <c r="C62" s="3"/>
      <c r="D62" s="2" t="s">
        <v>98</v>
      </c>
      <c r="E62" s="55"/>
      <c r="F62" s="3" t="str">
        <f>VLOOKUP($D$7,'Source Data'!$A$2:$EU$28,62,FALSE)</f>
        <v>Draw lead</v>
      </c>
      <c r="G62" s="4"/>
    </row>
    <row r="63" spans="2:7" ht="45" customHeight="1">
      <c r="B63" s="82" t="s">
        <v>257</v>
      </c>
      <c r="C63" s="3"/>
      <c r="D63" s="2" t="s">
        <v>99</v>
      </c>
      <c r="E63" s="55"/>
      <c r="F63" s="3" t="str">
        <f>VLOOKUP($D$7,'Source Data'!$A$2:$EU$28,63,FALSE)</f>
        <v>M12</v>
      </c>
      <c r="G63" s="4"/>
    </row>
    <row r="64" spans="2:7" ht="15.6">
      <c r="B64" s="81">
        <v>8</v>
      </c>
      <c r="C64" s="3" t="s">
        <v>250</v>
      </c>
      <c r="D64" s="56" t="s">
        <v>102</v>
      </c>
      <c r="E64" s="55"/>
      <c r="F64" s="3"/>
      <c r="G64" s="4"/>
    </row>
    <row r="65" spans="2:7" ht="45" customHeight="1">
      <c r="B65" s="80">
        <v>8.1</v>
      </c>
      <c r="C65" s="3"/>
      <c r="D65" s="54" t="s">
        <v>93</v>
      </c>
      <c r="E65" s="55"/>
      <c r="F65" s="3" t="str">
        <f>VLOOKUP($D$7,'Source Data'!$A$2:$EU$28,65,FALSE)</f>
        <v>xxxxxxxxxxx</v>
      </c>
      <c r="G65" s="4"/>
    </row>
    <row r="66" spans="2:7" ht="45" customHeight="1">
      <c r="B66" s="80">
        <v>8.1999999999999993</v>
      </c>
      <c r="C66" s="3"/>
      <c r="D66" s="54" t="s">
        <v>94</v>
      </c>
      <c r="E66" s="55"/>
      <c r="F66" s="3" t="str">
        <f>VLOOKUP($D$7,'Source Data'!$A$2:$EU$28,66,FALSE)</f>
        <v>xxxxxxxxxxx</v>
      </c>
      <c r="G66" s="4"/>
    </row>
    <row r="67" spans="2:7" ht="45" customHeight="1">
      <c r="B67" s="80">
        <v>8.3000000000000007</v>
      </c>
      <c r="C67" s="3"/>
      <c r="D67" s="54" t="s">
        <v>95</v>
      </c>
      <c r="E67" s="55"/>
      <c r="F67" s="3" t="str">
        <f>VLOOKUP($D$7,'Source Data'!$A$2:$EU$28,67,FALSE)</f>
        <v>xxxxxxxxxxx</v>
      </c>
      <c r="G67" s="4"/>
    </row>
    <row r="68" spans="2:7" ht="45" customHeight="1">
      <c r="B68" s="80">
        <v>8.4</v>
      </c>
      <c r="C68" s="3"/>
      <c r="D68" s="54" t="s">
        <v>99</v>
      </c>
      <c r="E68" s="55"/>
      <c r="F68" s="3" t="str">
        <f>VLOOKUP($D$7,'Source Data'!$A$2:$EU$28,68,FALSE)</f>
        <v>M12</v>
      </c>
      <c r="G68" s="4"/>
    </row>
    <row r="69" spans="2:7" ht="28.15" customHeight="1">
      <c r="B69" s="81">
        <v>9</v>
      </c>
      <c r="C69" s="3" t="s">
        <v>258</v>
      </c>
      <c r="D69" s="56" t="s">
        <v>105</v>
      </c>
      <c r="E69" s="55"/>
      <c r="F69" s="3"/>
      <c r="G69" s="4"/>
    </row>
    <row r="70" spans="2:7" ht="45" customHeight="1">
      <c r="B70" s="80">
        <v>9.1</v>
      </c>
      <c r="C70" s="3"/>
      <c r="D70" s="54" t="s">
        <v>106</v>
      </c>
      <c r="E70" s="55"/>
      <c r="F70" s="3" t="str">
        <f>VLOOKUP($D$7,'Source Data'!$A$2:$EU$28,72,FALSE)</f>
        <v>Distribution</v>
      </c>
      <c r="G70" s="4" t="s">
        <v>178</v>
      </c>
    </row>
    <row r="71" spans="2:7" ht="45" customHeight="1">
      <c r="B71" s="80">
        <v>9.1999999999999993</v>
      </c>
      <c r="C71" s="3"/>
      <c r="D71" s="54" t="s">
        <v>107</v>
      </c>
      <c r="E71" s="55" t="s">
        <v>259</v>
      </c>
      <c r="F71" s="3">
        <f>VLOOKUP($D$7,'Source Data'!$A$2:$EU$28,73,FALSE)</f>
        <v>80500</v>
      </c>
      <c r="G71" s="4" t="s">
        <v>178</v>
      </c>
    </row>
    <row r="72" spans="2:7" ht="45" customHeight="1">
      <c r="B72" s="80">
        <v>9.3000000000000007</v>
      </c>
      <c r="C72" s="3"/>
      <c r="D72" s="54" t="s">
        <v>108</v>
      </c>
      <c r="E72" s="55" t="s">
        <v>259</v>
      </c>
      <c r="F72" s="3">
        <f>VLOOKUP($D$7,'Source Data'!$A$2:$EU$28,74,FALSE)</f>
        <v>17500</v>
      </c>
      <c r="G72" s="4" t="s">
        <v>178</v>
      </c>
    </row>
    <row r="73" spans="2:7" ht="45" customHeight="1">
      <c r="B73" s="80">
        <v>9.4</v>
      </c>
      <c r="C73" s="3"/>
      <c r="D73" s="54" t="s">
        <v>260</v>
      </c>
      <c r="E73" s="55" t="s">
        <v>261</v>
      </c>
      <c r="F73" s="3">
        <v>540</v>
      </c>
      <c r="G73" s="4"/>
    </row>
    <row r="74" spans="2:7" ht="45" customHeight="1">
      <c r="B74" s="80">
        <v>9.5</v>
      </c>
      <c r="C74" s="3"/>
      <c r="D74" s="54" t="s">
        <v>262</v>
      </c>
      <c r="E74" s="55" t="s">
        <v>261</v>
      </c>
      <c r="F74" s="3">
        <v>200</v>
      </c>
      <c r="G74" s="4"/>
    </row>
    <row r="75" spans="2:7" ht="45" customHeight="1">
      <c r="B75" s="80">
        <v>9.6</v>
      </c>
      <c r="C75" s="3"/>
      <c r="D75" s="54" t="s">
        <v>263</v>
      </c>
      <c r="E75" s="55" t="s">
        <v>261</v>
      </c>
      <c r="F75" s="3">
        <v>4400</v>
      </c>
      <c r="G75" s="4"/>
    </row>
    <row r="76" spans="2:7" ht="27" customHeight="1">
      <c r="B76" s="81">
        <v>10</v>
      </c>
      <c r="C76" s="3" t="s">
        <v>258</v>
      </c>
      <c r="D76" s="57" t="s">
        <v>111</v>
      </c>
      <c r="E76" s="55"/>
      <c r="F76" s="3"/>
      <c r="G76" s="4"/>
    </row>
    <row r="77" spans="2:7" ht="45" customHeight="1">
      <c r="B77" s="80">
        <v>10.1</v>
      </c>
      <c r="C77" s="3"/>
      <c r="D77" s="58" t="s">
        <v>112</v>
      </c>
      <c r="E77" s="55" t="s">
        <v>264</v>
      </c>
      <c r="F77" s="59" t="str">
        <f>VLOOKUP($D$7,'Source Data'!$A$2:$EU$28,78,FALSE)</f>
        <v>4,0 to 5,0</v>
      </c>
      <c r="G77" s="4"/>
    </row>
    <row r="78" spans="2:7" ht="45" customHeight="1">
      <c r="B78" s="80">
        <v>10.199999999999999</v>
      </c>
      <c r="C78" s="3"/>
      <c r="D78" s="58" t="s">
        <v>113</v>
      </c>
      <c r="E78" s="55"/>
      <c r="F78" s="59" t="str">
        <f>VLOOKUP($D$7,'Source Data'!$A$2:$EU$28,79,FALSE)</f>
        <v>xxxxxxxxxx</v>
      </c>
      <c r="G78" s="4"/>
    </row>
    <row r="79" spans="2:7" ht="27" customHeight="1">
      <c r="B79" s="81">
        <v>11</v>
      </c>
      <c r="C79" s="3"/>
      <c r="D79" s="117" t="s">
        <v>299</v>
      </c>
      <c r="E79" s="55"/>
      <c r="F79" s="3"/>
      <c r="G79" s="4"/>
    </row>
    <row r="80" spans="2:7" ht="45" customHeight="1">
      <c r="B80" s="80">
        <v>11.1</v>
      </c>
      <c r="C80" s="3"/>
      <c r="D80" s="54" t="s">
        <v>115</v>
      </c>
      <c r="E80" s="55" t="s">
        <v>266</v>
      </c>
      <c r="F80" s="59" t="str">
        <f>VLOOKUP($D$7,'Source Data'!$A$2:$EU$28,81,FALSE)</f>
        <v>≤ 52</v>
      </c>
      <c r="G80" s="4"/>
    </row>
    <row r="81" spans="2:7" ht="22.15" customHeight="1">
      <c r="B81" s="81">
        <v>12</v>
      </c>
      <c r="C81" s="3"/>
      <c r="D81" s="56" t="s">
        <v>267</v>
      </c>
      <c r="E81" s="55"/>
      <c r="F81" s="3"/>
      <c r="G81" s="4"/>
    </row>
    <row r="82" spans="2:7" ht="45" customHeight="1">
      <c r="B82" s="80">
        <v>12.1</v>
      </c>
      <c r="C82" s="3"/>
      <c r="D82" s="54" t="s">
        <v>117</v>
      </c>
      <c r="E82" s="55"/>
      <c r="F82" s="59" t="str">
        <f>VLOOKUP($D$7,'Source Data'!$A$2:$EU$28,83,FALSE)</f>
        <v>xxxxxxxxxxx</v>
      </c>
      <c r="G82" s="4"/>
    </row>
    <row r="83" spans="2:7" ht="45" customHeight="1">
      <c r="B83" s="80">
        <v>12.2</v>
      </c>
      <c r="C83" s="3"/>
      <c r="D83" s="54" t="s">
        <v>118</v>
      </c>
      <c r="E83" s="55"/>
      <c r="F83" s="59" t="str">
        <f>VLOOKUP($D$7,'Source Data'!$A$2:$EU$28,84,FALSE)</f>
        <v>xxxxxxxxxxx</v>
      </c>
      <c r="G83" s="4"/>
    </row>
    <row r="84" spans="2:7" ht="21.6" customHeight="1">
      <c r="B84" s="81">
        <v>13</v>
      </c>
      <c r="C84" s="3"/>
      <c r="D84" s="56" t="s">
        <v>119</v>
      </c>
      <c r="E84" s="55"/>
      <c r="F84" s="3"/>
      <c r="G84" s="4"/>
    </row>
    <row r="85" spans="2:7" ht="45" customHeight="1">
      <c r="B85" s="80">
        <v>13.1</v>
      </c>
      <c r="C85" s="3"/>
      <c r="D85" s="54" t="s">
        <v>117</v>
      </c>
      <c r="E85" s="55"/>
      <c r="F85" s="59" t="str">
        <f>VLOOKUP($D$7,'Source Data'!$A$2:$EU$28,86,FALSE)</f>
        <v>xxxxxxxxxxx</v>
      </c>
      <c r="G85" s="4"/>
    </row>
    <row r="86" spans="2:7" ht="45" customHeight="1">
      <c r="B86" s="80">
        <v>13.2</v>
      </c>
      <c r="C86" s="3"/>
      <c r="D86" s="54" t="s">
        <v>118</v>
      </c>
      <c r="E86" s="55"/>
      <c r="F86" s="59" t="str">
        <f>VLOOKUP($D$7,'Source Data'!$A$2:$EU$28,87,FALSE)</f>
        <v>xxxxxxxxxxx</v>
      </c>
      <c r="G86" s="4"/>
    </row>
    <row r="87" spans="2:7" ht="24.6" customHeight="1">
      <c r="B87" s="81">
        <v>14</v>
      </c>
      <c r="C87" s="3"/>
      <c r="D87" s="56" t="s">
        <v>120</v>
      </c>
      <c r="E87" s="55"/>
      <c r="F87" s="3"/>
      <c r="G87" s="4"/>
    </row>
    <row r="88" spans="2:7" ht="45" customHeight="1">
      <c r="B88" s="80">
        <v>14.1</v>
      </c>
      <c r="C88" s="3"/>
      <c r="D88" s="54" t="s">
        <v>121</v>
      </c>
      <c r="E88" s="55"/>
      <c r="F88" s="59" t="str">
        <f>VLOOKUP($D$7,'Source Data'!$A$2:$EU$28,89,FALSE)</f>
        <v>Steel or Amporphous</v>
      </c>
      <c r="G88" s="4"/>
    </row>
    <row r="89" spans="2:7" ht="45" customHeight="1">
      <c r="B89" s="80">
        <v>14.2</v>
      </c>
      <c r="C89" s="3"/>
      <c r="D89" s="54" t="s">
        <v>122</v>
      </c>
      <c r="E89" s="55"/>
      <c r="F89" s="59" t="str">
        <f>VLOOKUP($D$7,'Source Data'!$A$2:$EU$28,90,FALSE)</f>
        <v>xxxxxxxxxxx</v>
      </c>
      <c r="G89" s="4"/>
    </row>
    <row r="90" spans="2:7" ht="45" customHeight="1">
      <c r="B90" s="80">
        <v>14.3</v>
      </c>
      <c r="C90" s="3"/>
      <c r="D90" s="54" t="s">
        <v>123</v>
      </c>
      <c r="E90" s="55"/>
      <c r="F90" s="59" t="str">
        <f>VLOOKUP($D$7,'Source Data'!$A$2:$EU$28,91,FALSE)</f>
        <v>xxxxxxxxxxx</v>
      </c>
      <c r="G90" s="4"/>
    </row>
    <row r="91" spans="2:7" ht="45" customHeight="1">
      <c r="B91" s="80">
        <v>14.4</v>
      </c>
      <c r="C91" s="3"/>
      <c r="D91" s="54" t="s">
        <v>124</v>
      </c>
      <c r="E91" s="55"/>
      <c r="F91" s="59" t="str">
        <f>VLOOKUP($D$7,'Source Data'!$A$2:$EU$28,92,FALSE)</f>
        <v>xxxxxxxxxxx</v>
      </c>
      <c r="G91" s="4"/>
    </row>
    <row r="92" spans="2:7" ht="23.45" customHeight="1">
      <c r="B92" s="81">
        <v>15</v>
      </c>
      <c r="C92" s="3" t="s">
        <v>268</v>
      </c>
      <c r="D92" s="57" t="s">
        <v>125</v>
      </c>
      <c r="E92" s="55"/>
      <c r="F92" s="59"/>
      <c r="G92" s="4"/>
    </row>
    <row r="93" spans="2:7" ht="45" customHeight="1">
      <c r="B93" s="80">
        <v>15.1</v>
      </c>
      <c r="C93" s="3"/>
      <c r="D93" s="54" t="s">
        <v>126</v>
      </c>
      <c r="E93" s="55"/>
      <c r="F93" s="59" t="str">
        <f>VLOOKUP($D$7,'Source Data'!$A$2:$EU$28,94,FALSE)</f>
        <v>Sealed</v>
      </c>
      <c r="G93" s="4"/>
    </row>
    <row r="94" spans="2:7" ht="45" customHeight="1">
      <c r="B94" s="80">
        <v>15.2</v>
      </c>
      <c r="C94" s="3"/>
      <c r="D94" s="54" t="s">
        <v>127</v>
      </c>
      <c r="E94" s="55"/>
      <c r="F94" s="59" t="str">
        <f>VLOOKUP($D$7,'Source Data'!$A$2:$EU$28,95,FALSE)</f>
        <v>xxxxxxxxxx</v>
      </c>
      <c r="G94" s="4"/>
    </row>
    <row r="95" spans="2:7" ht="21.6" customHeight="1">
      <c r="B95" s="81">
        <v>16</v>
      </c>
      <c r="C95" s="3" t="s">
        <v>269</v>
      </c>
      <c r="D95" s="56" t="s">
        <v>128</v>
      </c>
      <c r="E95" s="55"/>
      <c r="F95" s="59"/>
      <c r="G95" s="4"/>
    </row>
    <row r="96" spans="2:7" ht="40.15" customHeight="1">
      <c r="B96" s="80">
        <v>16.100000000000001</v>
      </c>
      <c r="C96" s="3" t="s">
        <v>270</v>
      </c>
      <c r="D96" s="54" t="s">
        <v>129</v>
      </c>
      <c r="E96" s="55" t="s">
        <v>245</v>
      </c>
      <c r="F96" s="59" t="str">
        <f>VLOOKUP($D$7,'Source Data'!$A$2:$EU$28,97,FALSE)</f>
        <v>≤ 1 800</v>
      </c>
      <c r="G96" s="4"/>
    </row>
    <row r="97" spans="2:7" ht="40.15" customHeight="1">
      <c r="B97" s="80">
        <v>16.2</v>
      </c>
      <c r="C97" s="3" t="s">
        <v>270</v>
      </c>
      <c r="D97" s="54" t="s">
        <v>130</v>
      </c>
      <c r="E97" s="55" t="s">
        <v>245</v>
      </c>
      <c r="F97" s="59" t="str">
        <f>VLOOKUP($D$7,'Source Data'!$A$2:$EU$28,98,FALSE)</f>
        <v xml:space="preserve">≤ 1 500 </v>
      </c>
      <c r="G97" s="4"/>
    </row>
    <row r="98" spans="2:7" ht="40.15" customHeight="1">
      <c r="B98" s="80">
        <v>16.3</v>
      </c>
      <c r="C98" s="3" t="s">
        <v>270</v>
      </c>
      <c r="D98" s="54" t="s">
        <v>131</v>
      </c>
      <c r="E98" s="55" t="s">
        <v>245</v>
      </c>
      <c r="F98" s="59" t="str">
        <f>VLOOKUP($D$7,'Source Data'!$A$2:$EU$28,99,FALSE)</f>
        <v>≤ 2000</v>
      </c>
      <c r="G98" s="4"/>
    </row>
    <row r="99" spans="2:7" ht="40.15" customHeight="1">
      <c r="B99" s="80">
        <v>16.399999999999999</v>
      </c>
      <c r="C99" s="3" t="s">
        <v>270</v>
      </c>
      <c r="D99" s="54" t="s">
        <v>132</v>
      </c>
      <c r="E99" s="55" t="s">
        <v>271</v>
      </c>
      <c r="F99" s="3" t="str">
        <f>VLOOKUP($D$7,'Source Data'!$A$2:$EU$28,100,FALSE)</f>
        <v>≤ 3500</v>
      </c>
      <c r="G99" s="4"/>
    </row>
    <row r="100" spans="2:7" ht="40.15" customHeight="1">
      <c r="B100" s="80">
        <v>16.5</v>
      </c>
      <c r="C100" s="3"/>
      <c r="D100" s="54" t="s">
        <v>133</v>
      </c>
      <c r="E100" s="55" t="s">
        <v>272</v>
      </c>
      <c r="F100" s="3" t="str">
        <f>VLOOKUP($D$7,'Source Data'!$A$2:$EU$28,101,FALSE)</f>
        <v>xxxxxxxxxxx</v>
      </c>
      <c r="G100" s="4"/>
    </row>
    <row r="101" spans="2:7" ht="40.15" customHeight="1">
      <c r="B101" s="80">
        <v>16.600000000000001</v>
      </c>
      <c r="C101" s="3"/>
      <c r="D101" s="54" t="s">
        <v>134</v>
      </c>
      <c r="E101" s="55" t="s">
        <v>245</v>
      </c>
      <c r="F101" s="3">
        <f>VLOOKUP($D$7,'Source Data'!$A$2:$EU$28,102,FALSE)</f>
        <v>300</v>
      </c>
      <c r="G101" s="4"/>
    </row>
    <row r="102" spans="2:7" ht="45" customHeight="1">
      <c r="B102" s="80">
        <v>16.7</v>
      </c>
      <c r="C102" s="3" t="s">
        <v>273</v>
      </c>
      <c r="D102" s="54" t="s">
        <v>135</v>
      </c>
      <c r="E102" s="55" t="s">
        <v>245</v>
      </c>
      <c r="F102" s="3">
        <f>VLOOKUP($D$7,'Source Data'!$A$2:$EU$28,103,FALSE)</f>
        <v>100</v>
      </c>
      <c r="G102" s="4"/>
    </row>
    <row r="103" spans="2:7" ht="25.9" customHeight="1">
      <c r="B103" s="81">
        <v>17</v>
      </c>
      <c r="C103" s="3" t="s">
        <v>273</v>
      </c>
      <c r="D103" s="56" t="s">
        <v>136</v>
      </c>
      <c r="E103" s="55"/>
      <c r="F103" s="3"/>
      <c r="G103" s="4"/>
    </row>
    <row r="104" spans="2:7" ht="45" customHeight="1">
      <c r="B104" s="80">
        <v>17.100000000000001</v>
      </c>
      <c r="C104" s="3"/>
      <c r="D104" s="54" t="s">
        <v>137</v>
      </c>
      <c r="E104" s="55"/>
      <c r="F104" s="3" t="str">
        <f>VLOOKUP($D$7,'Source Data'!$A$2:$EU$28,105,FALSE)</f>
        <v>No</v>
      </c>
      <c r="G104" s="4" t="s">
        <v>178</v>
      </c>
    </row>
    <row r="105" spans="2:7" ht="45" customHeight="1">
      <c r="B105" s="80" t="s">
        <v>274</v>
      </c>
      <c r="C105" s="83"/>
      <c r="D105" s="54" t="s">
        <v>138</v>
      </c>
      <c r="E105" s="55"/>
      <c r="F105" s="3" t="str">
        <f>VLOOKUP($D$7,'Source Data'!$A$2:$EU$28,106,FALSE)</f>
        <v>N/A</v>
      </c>
      <c r="G105" s="4" t="s">
        <v>178</v>
      </c>
    </row>
    <row r="106" spans="2:7" ht="45" customHeight="1">
      <c r="B106" s="80" t="s">
        <v>275</v>
      </c>
      <c r="C106" s="83"/>
      <c r="D106" s="58" t="s">
        <v>139</v>
      </c>
      <c r="E106" s="55"/>
      <c r="F106" s="3" t="str">
        <f>VLOOKUP($D$7,'Source Data'!$A$2:$EU$28,107,FALSE)</f>
        <v>N/A</v>
      </c>
      <c r="G106" s="4" t="s">
        <v>178</v>
      </c>
    </row>
    <row r="107" spans="2:7" ht="45" customHeight="1">
      <c r="B107" s="80" t="s">
        <v>276</v>
      </c>
      <c r="C107" s="83"/>
      <c r="D107" s="58" t="s">
        <v>140</v>
      </c>
      <c r="E107" s="55"/>
      <c r="F107" s="3" t="str">
        <f>VLOOKUP($D$7,'Source Data'!$A$2:$EU$28,108,FALSE)</f>
        <v>N/A</v>
      </c>
      <c r="G107" s="4" t="s">
        <v>178</v>
      </c>
    </row>
    <row r="108" spans="2:7" ht="45" customHeight="1">
      <c r="B108" s="80" t="s">
        <v>277</v>
      </c>
      <c r="C108" s="83"/>
      <c r="D108" s="58" t="s">
        <v>141</v>
      </c>
      <c r="E108" s="55"/>
      <c r="F108" s="3" t="str">
        <f>VLOOKUP($D$7,'Source Data'!$A$2:$EU$28,109,FALSE)</f>
        <v>N/A</v>
      </c>
      <c r="G108" s="4"/>
    </row>
    <row r="109" spans="2:7" ht="45" customHeight="1">
      <c r="B109" s="80">
        <v>17.2</v>
      </c>
      <c r="C109" s="3"/>
      <c r="D109" s="54" t="s">
        <v>142</v>
      </c>
      <c r="E109" s="55" t="s">
        <v>245</v>
      </c>
      <c r="F109" s="3" t="str">
        <f>VLOOKUP($D$7,'Source Data'!$A$2:$EU$28,110,FALSE)</f>
        <v>N/A</v>
      </c>
      <c r="G109" s="4" t="s">
        <v>178</v>
      </c>
    </row>
    <row r="110" spans="2:7" ht="45" customHeight="1">
      <c r="B110" s="80">
        <v>17.3</v>
      </c>
      <c r="C110" s="3"/>
      <c r="D110" s="54" t="s">
        <v>143</v>
      </c>
      <c r="E110" s="55" t="s">
        <v>245</v>
      </c>
      <c r="F110" s="3" t="str">
        <f>VLOOKUP($D$7,'Source Data'!$A$2:$EU$28,111,FALSE)</f>
        <v>N/A</v>
      </c>
      <c r="G110" s="4" t="s">
        <v>178</v>
      </c>
    </row>
    <row r="111" spans="2:7" ht="45" customHeight="1">
      <c r="B111" s="80">
        <v>17.399999999999999</v>
      </c>
      <c r="C111" s="3"/>
      <c r="D111" s="54" t="s">
        <v>144</v>
      </c>
      <c r="E111" s="55" t="s">
        <v>245</v>
      </c>
      <c r="F111" s="3" t="str">
        <f>VLOOKUP($D$7,'Source Data'!$A$2:$EU$28,112,FALSE)</f>
        <v>N/A</v>
      </c>
      <c r="G111" s="4" t="s">
        <v>178</v>
      </c>
    </row>
    <row r="112" spans="2:7" ht="45" customHeight="1">
      <c r="B112" s="80">
        <v>17.5</v>
      </c>
      <c r="C112" s="3"/>
      <c r="D112" s="54" t="s">
        <v>145</v>
      </c>
      <c r="E112" s="55" t="s">
        <v>245</v>
      </c>
      <c r="F112" s="3" t="str">
        <f>VLOOKUP($D$7,'Source Data'!$A$2:$EU$28,113,FALSE)</f>
        <v>N/A</v>
      </c>
      <c r="G112" s="4" t="s">
        <v>178</v>
      </c>
    </row>
    <row r="113" spans="2:7" ht="45" customHeight="1">
      <c r="B113" s="80">
        <v>17.600000000000001</v>
      </c>
      <c r="C113" s="3"/>
      <c r="D113" s="54" t="s">
        <v>146</v>
      </c>
      <c r="E113" s="55" t="s">
        <v>245</v>
      </c>
      <c r="F113" s="3" t="str">
        <f>VLOOKUP($D$7,'Source Data'!$A$2:$EU$28,114,FALSE)</f>
        <v>N/A</v>
      </c>
      <c r="G113" s="4" t="s">
        <v>178</v>
      </c>
    </row>
    <row r="114" spans="2:7" ht="45" customHeight="1">
      <c r="B114" s="81">
        <v>18</v>
      </c>
      <c r="C114" s="3" t="s">
        <v>278</v>
      </c>
      <c r="D114" s="56" t="s">
        <v>147</v>
      </c>
      <c r="E114" s="55"/>
      <c r="F114" s="3"/>
      <c r="G114" s="4"/>
    </row>
    <row r="115" spans="2:7" ht="45" customHeight="1">
      <c r="B115" s="80">
        <v>18.100000000000001</v>
      </c>
      <c r="C115" s="3"/>
      <c r="D115" s="54" t="s">
        <v>148</v>
      </c>
      <c r="E115" s="55"/>
      <c r="F115" s="3" t="str">
        <f>VLOOKUP($D$7,'Source Data'!$A$2:$EU$28,116,FALSE)</f>
        <v>Yes</v>
      </c>
      <c r="G115" s="4" t="s">
        <v>178</v>
      </c>
    </row>
    <row r="116" spans="2:7" ht="45" customHeight="1">
      <c r="B116" s="80">
        <v>18.2</v>
      </c>
      <c r="C116" s="3" t="s">
        <v>279</v>
      </c>
      <c r="D116" s="54" t="s">
        <v>149</v>
      </c>
      <c r="E116" s="55" t="s">
        <v>245</v>
      </c>
      <c r="F116" s="3">
        <f>VLOOKUP($D$7,'Source Data'!$A$2:$EU$28,117,FALSE)</f>
        <v>400</v>
      </c>
      <c r="G116" s="4"/>
    </row>
    <row r="117" spans="2:7" ht="45" customHeight="1">
      <c r="B117" s="80">
        <v>18.3</v>
      </c>
      <c r="C117" s="3" t="s">
        <v>279</v>
      </c>
      <c r="D117" s="54" t="s">
        <v>150</v>
      </c>
      <c r="E117" s="55" t="s">
        <v>245</v>
      </c>
      <c r="F117" s="3" t="str">
        <f>VLOOKUP($D$7,'Source Data'!$A$2:$EU$28,118,FALSE)</f>
        <v>xxxxxxxxxxx</v>
      </c>
      <c r="G117" s="4"/>
    </row>
    <row r="118" spans="2:7" ht="45" customHeight="1">
      <c r="B118" s="80">
        <v>18.399999999999999</v>
      </c>
      <c r="C118" s="3" t="s">
        <v>279</v>
      </c>
      <c r="D118" s="54" t="s">
        <v>151</v>
      </c>
      <c r="E118" s="55" t="s">
        <v>245</v>
      </c>
      <c r="F118" s="3" t="str">
        <f>VLOOKUP($D$7,'Source Data'!$A$2:$EU$28,119,FALSE)</f>
        <v>≥ 320</v>
      </c>
      <c r="G118" s="4"/>
    </row>
    <row r="119" spans="2:7" ht="45" customHeight="1">
      <c r="B119" s="80">
        <v>18.5</v>
      </c>
      <c r="C119" s="3" t="s">
        <v>279</v>
      </c>
      <c r="D119" s="54" t="s">
        <v>152</v>
      </c>
      <c r="E119" s="55" t="s">
        <v>245</v>
      </c>
      <c r="F119" s="3" t="str">
        <f>VLOOKUP($D$7,'Source Data'!$A$2:$EU$28,110,FALSE)</f>
        <v>N/A</v>
      </c>
      <c r="G119" s="4"/>
    </row>
    <row r="120" spans="2:7" ht="45" customHeight="1">
      <c r="B120" s="80">
        <v>18.600000000000001</v>
      </c>
      <c r="C120" s="3" t="s">
        <v>279</v>
      </c>
      <c r="D120" s="54" t="s">
        <v>145</v>
      </c>
      <c r="E120" s="55" t="s">
        <v>245</v>
      </c>
      <c r="F120" s="3" t="str">
        <f>VLOOKUP($D$7,'Source Data'!$A$2:$EU$28,111,FALSE)</f>
        <v>N/A</v>
      </c>
      <c r="G120" s="4"/>
    </row>
    <row r="121" spans="2:7" ht="45" customHeight="1">
      <c r="B121" s="81">
        <v>19</v>
      </c>
      <c r="C121" s="3" t="s">
        <v>280</v>
      </c>
      <c r="D121" s="56" t="s">
        <v>153</v>
      </c>
      <c r="E121" s="55"/>
      <c r="F121" s="3"/>
      <c r="G121" s="4"/>
    </row>
    <row r="122" spans="2:7" ht="45" customHeight="1">
      <c r="B122" s="80">
        <v>19.100000000000001</v>
      </c>
      <c r="C122" s="3"/>
      <c r="D122" s="54" t="s">
        <v>154</v>
      </c>
      <c r="E122" s="55"/>
      <c r="F122" s="3" t="str">
        <f>VLOOKUP($D$7,'Source Data'!$A$2:$EU$28,123,FALSE)</f>
        <v>Yes</v>
      </c>
      <c r="G122" s="4"/>
    </row>
    <row r="123" spans="2:7" ht="45" customHeight="1">
      <c r="B123" s="80">
        <v>19.2</v>
      </c>
      <c r="C123" s="3"/>
      <c r="D123" s="54" t="s">
        <v>155</v>
      </c>
      <c r="E123" s="55" t="s">
        <v>245</v>
      </c>
      <c r="F123" s="3" t="str">
        <f>VLOOKUP($D$7,'Source Data'!$A$2:$EU$28,124,FALSE)</f>
        <v xml:space="preserve">≥ 30 </v>
      </c>
      <c r="G123" s="4"/>
    </row>
    <row r="124" spans="2:7" ht="45" customHeight="1">
      <c r="B124" s="81">
        <v>20</v>
      </c>
      <c r="C124" s="3" t="s">
        <v>281</v>
      </c>
      <c r="D124" s="56" t="s">
        <v>156</v>
      </c>
      <c r="E124" s="55"/>
      <c r="F124" s="3"/>
      <c r="G124" s="4"/>
    </row>
    <row r="125" spans="2:7" ht="45" customHeight="1">
      <c r="B125" s="80">
        <v>20.100000000000001</v>
      </c>
      <c r="C125" s="3"/>
      <c r="D125" s="54" t="s">
        <v>157</v>
      </c>
      <c r="E125" s="55"/>
      <c r="F125" s="3" t="str">
        <f>VLOOKUP($D$7,'Source Data'!$A$2:$EU$28,126,FALSE)</f>
        <v>316 Stainless Steel or Mild Steel</v>
      </c>
      <c r="G125" s="4"/>
    </row>
    <row r="126" spans="2:7" ht="45" customHeight="1">
      <c r="B126" s="80">
        <v>20.2</v>
      </c>
      <c r="C126" s="3"/>
      <c r="D126" s="54" t="s">
        <v>158</v>
      </c>
      <c r="E126" s="55" t="s">
        <v>245</v>
      </c>
      <c r="F126" s="3" t="str">
        <f>VLOOKUP($D$7,'Source Data'!$A$2:$EU$28,127,FALSE)</f>
        <v>≥ 30</v>
      </c>
      <c r="G126" s="4"/>
    </row>
    <row r="127" spans="2:7" ht="45" customHeight="1">
      <c r="B127" s="80">
        <v>20.3</v>
      </c>
      <c r="C127" s="3"/>
      <c r="D127" s="54" t="s">
        <v>159</v>
      </c>
      <c r="E127" s="55"/>
      <c r="F127" s="3" t="str">
        <f>VLOOKUP($D$7,'Source Data'!$A$2:$EU$28,128,FALSE)</f>
        <v>316 Stainless Steel or Mild Steel</v>
      </c>
      <c r="G127" s="4"/>
    </row>
    <row r="128" spans="2:7" ht="45" customHeight="1">
      <c r="B128" s="80">
        <v>20.399999999999999</v>
      </c>
      <c r="C128" s="3"/>
      <c r="D128" s="54" t="s">
        <v>160</v>
      </c>
      <c r="E128" s="55" t="s">
        <v>245</v>
      </c>
      <c r="F128" s="3" t="str">
        <f>VLOOKUP($D$7,'Source Data'!$A$2:$EU$28,129,FALSE)</f>
        <v xml:space="preserve">M12 x 25 </v>
      </c>
      <c r="G128" s="4"/>
    </row>
    <row r="129" spans="2:7" ht="45" customHeight="1">
      <c r="B129" s="80">
        <v>20.5</v>
      </c>
      <c r="C129" s="3"/>
      <c r="D129" s="54" t="s">
        <v>161</v>
      </c>
      <c r="E129" s="55"/>
      <c r="F129" s="3" t="str">
        <f>VLOOKUP($D$7,'Source Data'!$A$2:$EU$28,130,FALSE)</f>
        <v>Yes</v>
      </c>
      <c r="G129" s="4"/>
    </row>
    <row r="130" spans="2:7" ht="45" customHeight="1">
      <c r="B130" s="81">
        <v>21</v>
      </c>
      <c r="C130" s="3" t="s">
        <v>282</v>
      </c>
      <c r="D130" s="56" t="s">
        <v>162</v>
      </c>
      <c r="E130" s="55"/>
      <c r="F130" s="3"/>
      <c r="G130" s="4"/>
    </row>
    <row r="131" spans="2:7" ht="45" customHeight="1">
      <c r="B131" s="80">
        <v>21.1</v>
      </c>
      <c r="C131" s="3"/>
      <c r="D131" s="54" t="s">
        <v>163</v>
      </c>
      <c r="E131" s="55"/>
      <c r="F131" s="3" t="str">
        <f>VLOOKUP($D$7,'Source Data'!$A$2:$EU$28,132,FALSE)</f>
        <v>Yes</v>
      </c>
      <c r="G131" s="4"/>
    </row>
    <row r="132" spans="2:7" ht="45" customHeight="1">
      <c r="B132" s="80">
        <v>21.2</v>
      </c>
      <c r="C132" s="3" t="s">
        <v>283</v>
      </c>
      <c r="D132" s="54" t="s">
        <v>145</v>
      </c>
      <c r="E132" s="55" t="s">
        <v>245</v>
      </c>
      <c r="F132" s="3">
        <f>VLOOKUP($D$7,'Source Data'!$A$2:$EU$28,133,FALSE)</f>
        <v>14</v>
      </c>
      <c r="G132" s="4"/>
    </row>
    <row r="133" spans="2:7" ht="45" customHeight="1">
      <c r="B133" s="80">
        <v>21.3</v>
      </c>
      <c r="C133" s="3" t="s">
        <v>283</v>
      </c>
      <c r="D133" s="54" t="s">
        <v>164</v>
      </c>
      <c r="E133" s="55" t="s">
        <v>245</v>
      </c>
      <c r="F133" s="3" t="str">
        <f>VLOOKUP($D$7,'Source Data'!$A$2:$EU$28,134,FALSE)</f>
        <v>≥ 200</v>
      </c>
      <c r="G133" s="4"/>
    </row>
    <row r="134" spans="2:7" ht="45" customHeight="1">
      <c r="B134" s="80">
        <v>21.4</v>
      </c>
      <c r="C134" s="3" t="s">
        <v>283</v>
      </c>
      <c r="D134" s="54" t="s">
        <v>165</v>
      </c>
      <c r="E134" s="55" t="s">
        <v>245</v>
      </c>
      <c r="F134" s="3" t="str">
        <f>VLOOKUP($D$7,'Source Data'!$A$2:$EU$28,135,FALSE)</f>
        <v>≥ 300</v>
      </c>
      <c r="G134" s="4"/>
    </row>
    <row r="135" spans="2:7" ht="45" customHeight="1">
      <c r="B135" s="80">
        <v>21.5</v>
      </c>
      <c r="C135" s="3" t="s">
        <v>283</v>
      </c>
      <c r="D135" s="54" t="s">
        <v>166</v>
      </c>
      <c r="E135" s="55" t="s">
        <v>245</v>
      </c>
      <c r="F135" s="3" t="str">
        <f>VLOOKUP($D$7,'Source Data'!$A$2:$EU$28,136,FALSE)</f>
        <v>≥ 150</v>
      </c>
      <c r="G135" s="4"/>
    </row>
    <row r="136" spans="2:7" ht="45" customHeight="1">
      <c r="B136" s="81">
        <v>22</v>
      </c>
      <c r="C136" s="60">
        <v>3.4</v>
      </c>
      <c r="D136" s="61" t="s">
        <v>173</v>
      </c>
      <c r="E136" s="62"/>
      <c r="F136" s="60"/>
      <c r="G136" s="63"/>
    </row>
    <row r="137" spans="2:7" ht="45" customHeight="1">
      <c r="B137" s="80">
        <v>22.1</v>
      </c>
      <c r="C137" s="3"/>
      <c r="D137" s="64" t="s">
        <v>174</v>
      </c>
      <c r="E137" s="55"/>
      <c r="F137" s="3"/>
      <c r="G137" s="4"/>
    </row>
    <row r="138" spans="2:7" ht="45" customHeight="1">
      <c r="B138" s="80">
        <v>22.2</v>
      </c>
      <c r="C138" s="3"/>
      <c r="D138" s="64" t="s">
        <v>169</v>
      </c>
      <c r="E138" s="55"/>
      <c r="F138" s="3" t="str">
        <f>VLOOKUP($D$7,'Source Data'!$A$2:$EU$28,145,FALSE)</f>
        <v>xxxxxxxxxxx</v>
      </c>
      <c r="G138" s="4"/>
    </row>
    <row r="139" spans="2:7" ht="45" customHeight="1">
      <c r="B139" s="80">
        <v>22.3</v>
      </c>
      <c r="C139" s="3"/>
      <c r="D139" s="64" t="s">
        <v>170</v>
      </c>
      <c r="E139" s="55"/>
      <c r="F139" s="3" t="str">
        <f>VLOOKUP($D$7,'Source Data'!$A$2:$EU$28,146,FALSE)</f>
        <v>xxxxxxxxxxx</v>
      </c>
      <c r="G139" s="4"/>
    </row>
    <row r="140" spans="2:7" ht="45" customHeight="1">
      <c r="B140" s="80">
        <v>22.4</v>
      </c>
      <c r="C140" s="84"/>
      <c r="D140" s="64" t="s">
        <v>171</v>
      </c>
      <c r="E140" s="65"/>
      <c r="F140" s="3" t="str">
        <f>VLOOKUP($D$7,'Source Data'!$A$2:$EU$28,147,FALSE)</f>
        <v>xxxxxxxxxxx</v>
      </c>
      <c r="G140" s="66"/>
    </row>
    <row r="141" spans="2:7" ht="45" customHeight="1">
      <c r="B141" s="80">
        <v>22.5</v>
      </c>
      <c r="C141" s="84"/>
      <c r="D141" s="64" t="s">
        <v>172</v>
      </c>
      <c r="E141" s="65"/>
      <c r="F141" s="3" t="str">
        <f>VLOOKUP($D$7,'Source Data'!$A$2:$EU$28,148,FALSE)</f>
        <v>Azure Blue</v>
      </c>
      <c r="G141" s="66"/>
    </row>
    <row r="142" spans="2:7" ht="151.15">
      <c r="B142" s="85">
        <v>23</v>
      </c>
      <c r="C142" s="84">
        <v>4.2</v>
      </c>
      <c r="D142" s="61" t="s">
        <v>284</v>
      </c>
      <c r="E142" s="65"/>
      <c r="F142" s="3" t="str">
        <f>VLOOKUP($D$7,'Source Data'!$A$2:$EU$28,149,FALSE)</f>
        <v>Report Numbers</v>
      </c>
      <c r="G142" s="66"/>
    </row>
    <row r="143" spans="2:7" ht="241.9" thickBot="1">
      <c r="B143" s="86">
        <v>24</v>
      </c>
      <c r="C143" s="67">
        <v>4.3</v>
      </c>
      <c r="D143" s="68" t="s">
        <v>285</v>
      </c>
      <c r="E143" s="69"/>
      <c r="F143" s="67" t="str">
        <f>VLOOKUP($D$7,'Source Data'!$A$2:$EU$28,150,FALSE)</f>
        <v>Report Numbers</v>
      </c>
      <c r="G143" s="70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&amp;CSWER Isolation, 400kVA 22kV/ 19kV* (Coastal, Ester Oil Only)</oddHeader>
  </headerFooter>
  <rowBreaks count="4" manualBreakCount="4">
    <brk id="37" min="1" max="6" man="1"/>
    <brk id="68" min="1" max="6" man="1"/>
    <brk id="102" min="1" max="6" man="1"/>
    <brk id="123" min="1" max="6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1D419-0859-4163-A2E6-BF260DAF14C8}">
  <sheetPr>
    <pageSetUpPr fitToPage="1"/>
  </sheetPr>
  <dimension ref="B1:G143"/>
  <sheetViews>
    <sheetView topLeftCell="A77" zoomScale="85" zoomScaleNormal="85" zoomScaleSheetLayoutView="70" workbookViewId="0">
      <selection activeCell="D79" sqref="D79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28" bestFit="1" customWidth="1"/>
    <col min="6" max="6" width="22.85546875" customWidth="1"/>
    <col min="7" max="7" width="30.85546875" customWidth="1"/>
  </cols>
  <sheetData>
    <row r="1" spans="2:7" ht="15" thickBot="1"/>
    <row r="2" spans="2:7">
      <c r="B2" s="29"/>
      <c r="C2" s="30"/>
      <c r="D2" s="30"/>
      <c r="E2" s="31"/>
      <c r="F2" s="30"/>
      <c r="G2" s="32"/>
    </row>
    <row r="3" spans="2:7">
      <c r="B3" s="33"/>
      <c r="C3" s="34"/>
      <c r="D3" s="34"/>
      <c r="E3" s="35"/>
      <c r="F3" s="91" t="s">
        <v>226</v>
      </c>
      <c r="G3" s="92"/>
    </row>
    <row r="4" spans="2:7">
      <c r="B4" s="33"/>
      <c r="C4" s="34"/>
      <c r="D4" s="34"/>
      <c r="E4" s="35"/>
      <c r="F4" s="91" t="str">
        <f>'List of Items &amp; Enquiry number'!B14</f>
        <v>Enquiry Number: 123456XYZ</v>
      </c>
      <c r="G4" s="92"/>
    </row>
    <row r="5" spans="2:7">
      <c r="B5" s="33"/>
      <c r="C5" s="34"/>
      <c r="D5" s="34"/>
      <c r="E5" s="35"/>
      <c r="F5" s="34"/>
      <c r="G5" s="36"/>
    </row>
    <row r="6" spans="2:7" ht="28.9">
      <c r="B6" s="37"/>
      <c r="C6" s="38"/>
      <c r="D6" s="39" t="s">
        <v>227</v>
      </c>
      <c r="E6" s="40"/>
      <c r="F6" s="41"/>
      <c r="G6" s="42"/>
    </row>
    <row r="7" spans="2:7">
      <c r="B7" s="33"/>
      <c r="C7" s="34"/>
      <c r="D7" s="43" t="s">
        <v>52</v>
      </c>
      <c r="E7" s="35"/>
      <c r="F7" s="34"/>
      <c r="G7" s="36"/>
    </row>
    <row r="8" spans="2:7">
      <c r="B8" s="33"/>
      <c r="C8" s="34"/>
      <c r="D8" s="76" t="s">
        <v>228</v>
      </c>
      <c r="E8" s="34"/>
      <c r="F8" s="93" t="s">
        <v>229</v>
      </c>
      <c r="G8" s="94"/>
    </row>
    <row r="9" spans="2:7">
      <c r="B9" s="44" t="s">
        <v>230</v>
      </c>
      <c r="C9" s="1"/>
      <c r="D9" s="1"/>
      <c r="E9" s="1"/>
      <c r="F9" s="93"/>
      <c r="G9" s="94"/>
    </row>
    <row r="10" spans="2:7" ht="15" thickBot="1">
      <c r="B10" s="97" t="s">
        <v>231</v>
      </c>
      <c r="C10" s="98"/>
      <c r="D10" s="98"/>
      <c r="E10" s="45"/>
      <c r="F10" s="95"/>
      <c r="G10" s="96"/>
    </row>
    <row r="11" spans="2:7" ht="28.15" customHeight="1" thickBot="1">
      <c r="B11" s="49" t="s">
        <v>232</v>
      </c>
      <c r="C11" s="78" t="s">
        <v>233</v>
      </c>
      <c r="D11" s="47" t="s">
        <v>15</v>
      </c>
      <c r="E11" s="48"/>
      <c r="F11" s="49" t="s">
        <v>234</v>
      </c>
      <c r="G11" s="46" t="s">
        <v>235</v>
      </c>
    </row>
    <row r="12" spans="2:7" ht="21" customHeight="1">
      <c r="B12" s="79">
        <v>1</v>
      </c>
      <c r="C12" s="50"/>
      <c r="D12" s="51" t="s">
        <v>54</v>
      </c>
      <c r="E12" s="52"/>
      <c r="F12" s="50"/>
      <c r="G12" s="53"/>
    </row>
    <row r="13" spans="2:7" ht="45" customHeight="1">
      <c r="B13" s="80">
        <v>1.1000000000000001</v>
      </c>
      <c r="C13" s="3"/>
      <c r="D13" s="54" t="s">
        <v>55</v>
      </c>
      <c r="E13" s="55"/>
      <c r="F13" s="3" t="str">
        <f>VLOOKUP($D$7,'Source Data'!$A$2:$EU$28,3,FALSE)</f>
        <v>xxxxxxxxxxx</v>
      </c>
      <c r="G13" s="4"/>
    </row>
    <row r="14" spans="2:7" ht="45" customHeight="1">
      <c r="B14" s="80">
        <v>1.2000000000000002</v>
      </c>
      <c r="C14" s="3"/>
      <c r="D14" s="54" t="s">
        <v>56</v>
      </c>
      <c r="E14" s="55"/>
      <c r="F14" s="3" t="str">
        <f>VLOOKUP($D$7,'Source Data'!$A$2:$EU$28,4,FALSE)</f>
        <v>xxxxxxxxxxx</v>
      </c>
      <c r="G14" s="4"/>
    </row>
    <row r="15" spans="2:7" ht="45" customHeight="1">
      <c r="B15" s="80">
        <v>1.3</v>
      </c>
      <c r="C15" s="3"/>
      <c r="D15" s="54" t="s">
        <v>58</v>
      </c>
      <c r="E15" s="55"/>
      <c r="F15" s="3" t="str">
        <f>VLOOKUP($D$7,'Source Data'!$A$2:$EU$28,6,FALSE)</f>
        <v>xxxxxxxxxxx</v>
      </c>
      <c r="G15" s="4"/>
    </row>
    <row r="16" spans="2:7" ht="45" customHeight="1">
      <c r="B16" s="80">
        <v>1.4</v>
      </c>
      <c r="C16" s="3"/>
      <c r="D16" s="54" t="s">
        <v>236</v>
      </c>
      <c r="E16" s="55"/>
      <c r="F16" s="3" t="str">
        <f>VLOOKUP($D$7,'Source Data'!$A$2:$EU$28,7,FALSE)</f>
        <v>xxxxxxxxxxx</v>
      </c>
      <c r="G16" s="4"/>
    </row>
    <row r="17" spans="2:7" ht="45" customHeight="1">
      <c r="B17" s="80">
        <v>1.5</v>
      </c>
      <c r="C17" s="3"/>
      <c r="D17" s="54" t="s">
        <v>237</v>
      </c>
      <c r="E17" s="55"/>
      <c r="F17" s="3" t="str">
        <f>VLOOKUP($D$7,'Source Data'!$A$2:$EU$28,8,FALSE)</f>
        <v>xxxxxxxxxxx</v>
      </c>
      <c r="G17" s="4"/>
    </row>
    <row r="18" spans="2:7" ht="45" customHeight="1">
      <c r="B18" s="80">
        <v>1.6</v>
      </c>
      <c r="C18" s="3"/>
      <c r="D18" s="54" t="s">
        <v>61</v>
      </c>
      <c r="E18" s="55"/>
      <c r="F18" s="3" t="str">
        <f>VLOOKUP($D$7,'Source Data'!$A$2:$EU$28,9,FALSE)</f>
        <v>Ester Oil</v>
      </c>
      <c r="G18" s="4"/>
    </row>
    <row r="19" spans="2:7" ht="24.6" customHeight="1">
      <c r="B19" s="81">
        <v>2</v>
      </c>
      <c r="C19" s="3" t="s">
        <v>238</v>
      </c>
      <c r="D19" s="56" t="s">
        <v>62</v>
      </c>
      <c r="E19" s="55"/>
      <c r="F19" s="3"/>
      <c r="G19" s="4"/>
    </row>
    <row r="20" spans="2:7" ht="45" customHeight="1">
      <c r="B20" s="80">
        <v>2.1</v>
      </c>
      <c r="C20" s="3"/>
      <c r="D20" s="54" t="s">
        <v>63</v>
      </c>
      <c r="E20" s="55" t="s">
        <v>239</v>
      </c>
      <c r="F20" s="3">
        <f>VLOOKUP($D$7,'Source Data'!$A$2:$EU$28,11,FALSE)</f>
        <v>400</v>
      </c>
      <c r="G20" s="4"/>
    </row>
    <row r="21" spans="2:7" ht="45" customHeight="1">
      <c r="B21" s="80">
        <v>2.2000000000000002</v>
      </c>
      <c r="C21" s="3"/>
      <c r="D21" s="54" t="s">
        <v>64</v>
      </c>
      <c r="E21" s="55" t="s">
        <v>240</v>
      </c>
      <c r="F21" s="3">
        <f>VLOOKUP($D$7,'Source Data'!$A$2:$EU$28,12,FALSE)</f>
        <v>33</v>
      </c>
      <c r="G21" s="4"/>
    </row>
    <row r="22" spans="2:7" ht="45" customHeight="1">
      <c r="B22" s="80">
        <v>2.3000000000000003</v>
      </c>
      <c r="C22" s="3"/>
      <c r="D22" s="54" t="s">
        <v>241</v>
      </c>
      <c r="E22" s="55" t="s">
        <v>240</v>
      </c>
      <c r="F22" s="3">
        <f>VLOOKUP($D$7,'Source Data'!$A$2:$EU$28,13,FALSE)</f>
        <v>19</v>
      </c>
      <c r="G22" s="4"/>
    </row>
    <row r="23" spans="2:7" ht="45" customHeight="1">
      <c r="B23" s="80">
        <v>2.4000000000000004</v>
      </c>
      <c r="C23" s="3"/>
      <c r="D23" s="54" t="s">
        <v>66</v>
      </c>
      <c r="E23" s="55" t="s">
        <v>242</v>
      </c>
      <c r="F23" s="3">
        <f>VLOOKUP($D$7,'Source Data'!$A$2:$EU$28,14,FALSE)</f>
        <v>50</v>
      </c>
      <c r="G23" s="4"/>
    </row>
    <row r="24" spans="2:7" ht="45" customHeight="1">
      <c r="B24" s="80">
        <v>2.5</v>
      </c>
      <c r="C24" s="3"/>
      <c r="D24" s="54" t="s">
        <v>67</v>
      </c>
      <c r="E24" s="55"/>
      <c r="F24" s="3" t="str">
        <f>VLOOKUP($D$7,'Source Data'!$A$2:$EU$28,15,FALSE)</f>
        <v>1ph</v>
      </c>
      <c r="G24" s="4"/>
    </row>
    <row r="25" spans="2:7" ht="45" customHeight="1">
      <c r="B25" s="80">
        <v>2.6</v>
      </c>
      <c r="C25" s="3"/>
      <c r="D25" s="54" t="s">
        <v>68</v>
      </c>
      <c r="E25" s="55"/>
      <c r="F25" s="3" t="str">
        <f>VLOOKUP($D$7,'Source Data'!$A$2:$EU$28,16,FALSE)</f>
        <v>N/A</v>
      </c>
      <c r="G25" s="4" t="s">
        <v>178</v>
      </c>
    </row>
    <row r="26" spans="2:7" ht="24.6" customHeight="1">
      <c r="B26" s="81">
        <v>3</v>
      </c>
      <c r="C26" s="3" t="s">
        <v>243</v>
      </c>
      <c r="D26" s="56" t="s">
        <v>69</v>
      </c>
      <c r="E26" s="55"/>
      <c r="F26" s="3"/>
      <c r="G26" s="4"/>
    </row>
    <row r="27" spans="2:7" ht="45" customHeight="1">
      <c r="B27" s="80">
        <v>3.1</v>
      </c>
      <c r="C27" s="3"/>
      <c r="D27" s="54" t="s">
        <v>70</v>
      </c>
      <c r="E27" s="55" t="s">
        <v>240</v>
      </c>
      <c r="F27" s="3">
        <f>VLOOKUP($D$7,'Source Data'!$A$2:$EU$28,18,FALSE)</f>
        <v>200</v>
      </c>
      <c r="G27" s="4"/>
    </row>
    <row r="28" spans="2:7" ht="45" customHeight="1">
      <c r="B28" s="80">
        <v>3.2</v>
      </c>
      <c r="C28" s="3"/>
      <c r="D28" s="54" t="s">
        <v>71</v>
      </c>
      <c r="E28" s="55" t="s">
        <v>240</v>
      </c>
      <c r="F28" s="3">
        <f>VLOOKUP($D$7,'Source Data'!$A$2:$EU$28,19,FALSE)</f>
        <v>200</v>
      </c>
      <c r="G28" s="4"/>
    </row>
    <row r="29" spans="2:7" ht="45" customHeight="1">
      <c r="B29" s="80">
        <v>3.3</v>
      </c>
      <c r="C29" s="3"/>
      <c r="D29" s="54" t="s">
        <v>72</v>
      </c>
      <c r="E29" s="55" t="s">
        <v>240</v>
      </c>
      <c r="F29" s="3">
        <f>VLOOKUP($D$7,'Source Data'!$A$2:$EU$28,20,FALSE)</f>
        <v>30</v>
      </c>
      <c r="G29" s="4"/>
    </row>
    <row r="30" spans="2:7" ht="45" customHeight="1">
      <c r="B30" s="80">
        <v>3.4</v>
      </c>
      <c r="C30" s="3"/>
      <c r="D30" s="54" t="s">
        <v>73</v>
      </c>
      <c r="E30" s="55" t="s">
        <v>240</v>
      </c>
      <c r="F30" s="3">
        <f>VLOOKUP($D$7,'Source Data'!$A$2:$EU$28,21,FALSE)</f>
        <v>70</v>
      </c>
      <c r="G30" s="4"/>
    </row>
    <row r="31" spans="2:7" ht="45" customHeight="1">
      <c r="B31" s="80">
        <v>3.5</v>
      </c>
      <c r="C31" s="3"/>
      <c r="D31" s="54" t="s">
        <v>74</v>
      </c>
      <c r="E31" s="55" t="s">
        <v>240</v>
      </c>
      <c r="F31" s="3">
        <f>VLOOKUP($D$7,'Source Data'!$A$2:$EU$28,22,FALSE)</f>
        <v>8</v>
      </c>
      <c r="G31" s="4"/>
    </row>
    <row r="32" spans="2:7" ht="33" customHeight="1">
      <c r="B32" s="81">
        <v>4</v>
      </c>
      <c r="C32" s="3" t="s">
        <v>244</v>
      </c>
      <c r="D32" s="56" t="s">
        <v>75</v>
      </c>
      <c r="E32" s="55"/>
      <c r="F32" s="3"/>
      <c r="G32" s="4"/>
    </row>
    <row r="33" spans="2:7" ht="45" customHeight="1">
      <c r="B33" s="80">
        <v>4.0999999999999996</v>
      </c>
      <c r="C33" s="3"/>
      <c r="D33" s="54" t="s">
        <v>76</v>
      </c>
      <c r="E33" s="55"/>
      <c r="F33" s="3" t="str">
        <f>VLOOKUP($D$7,'Source Data'!$A$2:$EU$28,24,FALSE)</f>
        <v>xxxxxxxxxxx</v>
      </c>
      <c r="G33" s="4"/>
    </row>
    <row r="34" spans="2:7" ht="45" customHeight="1">
      <c r="B34" s="80">
        <v>4.1999999999999993</v>
      </c>
      <c r="C34" s="3"/>
      <c r="D34" s="54" t="s">
        <v>77</v>
      </c>
      <c r="E34" s="55"/>
      <c r="F34" s="3" t="str">
        <f>VLOOKUP($D$7,'Source Data'!$A$2:$EU$28,25,FALSE)</f>
        <v>Grade 3</v>
      </c>
      <c r="G34" s="4"/>
    </row>
    <row r="35" spans="2:7" ht="45" customHeight="1">
      <c r="B35" s="80">
        <v>4.3</v>
      </c>
      <c r="C35" s="3"/>
      <c r="D35" s="54" t="s">
        <v>78</v>
      </c>
      <c r="E35" s="55" t="s">
        <v>245</v>
      </c>
      <c r="F35" s="3" t="str">
        <f>VLOOKUP($D$7,'Source Data'!$A$2:$EU$28,26,FALSE)</f>
        <v>&gt; 0.125</v>
      </c>
      <c r="G35" s="4"/>
    </row>
    <row r="36" spans="2:7" ht="45" customHeight="1">
      <c r="B36" s="80">
        <v>4.3999999999999995</v>
      </c>
      <c r="C36" s="3"/>
      <c r="D36" s="54" t="s">
        <v>79</v>
      </c>
      <c r="E36" s="55"/>
      <c r="F36" s="3" t="str">
        <f>VLOOKUP($D$7,'Source Data'!$A$2:$EU$28,27,FALSE)</f>
        <v>xxxxxxxxxxx</v>
      </c>
      <c r="G36" s="4"/>
    </row>
    <row r="37" spans="2:7" ht="45" customHeight="1">
      <c r="B37" s="80">
        <v>4.5</v>
      </c>
      <c r="C37" s="3"/>
      <c r="D37" s="54" t="s">
        <v>80</v>
      </c>
      <c r="E37" s="55"/>
      <c r="F37" s="3" t="str">
        <f>VLOOKUP($D$7,'Source Data'!$A$2:$EU$28,28,FALSE)</f>
        <v>xxxxxxxxxxx</v>
      </c>
      <c r="G37" s="4"/>
    </row>
    <row r="38" spans="2:7" ht="45" customHeight="1">
      <c r="B38" s="80">
        <v>4.5999999999999996</v>
      </c>
      <c r="C38" s="3"/>
      <c r="D38" s="54" t="s">
        <v>81</v>
      </c>
      <c r="E38" s="55" t="s">
        <v>240</v>
      </c>
      <c r="F38" s="3">
        <f>VLOOKUP($D$7,'Source Data'!$A$2:$EU$28,29,FALSE)</f>
        <v>21</v>
      </c>
      <c r="G38" s="4"/>
    </row>
    <row r="39" spans="2:7" ht="45" customHeight="1">
      <c r="B39" s="80">
        <v>4.7</v>
      </c>
      <c r="C39" s="3"/>
      <c r="D39" s="54" t="s">
        <v>82</v>
      </c>
      <c r="E39" s="55" t="s">
        <v>240</v>
      </c>
      <c r="F39" s="3">
        <f>VLOOKUP($D$7,'Source Data'!$A$2:$EU$28,30,FALSE)</f>
        <v>8</v>
      </c>
      <c r="G39" s="4"/>
    </row>
    <row r="40" spans="2:7" ht="45" customHeight="1">
      <c r="B40" s="80">
        <v>4.8</v>
      </c>
      <c r="C40" s="3"/>
      <c r="D40" s="54" t="s">
        <v>246</v>
      </c>
      <c r="E40" s="55" t="s">
        <v>247</v>
      </c>
      <c r="F40" s="3" t="str">
        <f>VLOOKUP($D$7,'Source Data'!$A$2:$EU$28,31,FALSE)</f>
        <v>&lt;5</v>
      </c>
      <c r="G40" s="4"/>
    </row>
    <row r="41" spans="2:7" ht="45" customHeight="1">
      <c r="B41" s="81">
        <v>5</v>
      </c>
      <c r="C41" s="3" t="s">
        <v>248</v>
      </c>
      <c r="D41" s="56" t="s">
        <v>84</v>
      </c>
      <c r="E41" s="55"/>
      <c r="F41" s="3"/>
      <c r="G41" s="4"/>
    </row>
    <row r="42" spans="2:7" ht="45" customHeight="1">
      <c r="B42" s="80">
        <v>5.0999999999999996</v>
      </c>
      <c r="C42" s="3"/>
      <c r="D42" s="54" t="s">
        <v>85</v>
      </c>
      <c r="E42" s="55" t="s">
        <v>247</v>
      </c>
      <c r="F42" s="3" t="str">
        <f>VLOOKUP($D$7,'Source Data'!$A$2:$EU$28,33,FALSE)</f>
        <v>&lt; 5</v>
      </c>
      <c r="G42" s="4"/>
    </row>
    <row r="43" spans="2:7" ht="45" customHeight="1">
      <c r="B43" s="80">
        <v>5.1999999999999993</v>
      </c>
      <c r="C43" s="3"/>
      <c r="D43" s="54" t="s">
        <v>86</v>
      </c>
      <c r="E43" s="55" t="s">
        <v>247</v>
      </c>
      <c r="F43" s="3" t="str">
        <f>VLOOKUP($D$7,'Source Data'!$A$2:$EU$28,34,FALSE)</f>
        <v xml:space="preserve">&lt; 5 </v>
      </c>
      <c r="G43" s="4"/>
    </row>
    <row r="44" spans="2:7" ht="45" customHeight="1">
      <c r="B44" s="80">
        <v>5.3</v>
      </c>
      <c r="C44" s="3"/>
      <c r="D44" s="54" t="s">
        <v>87</v>
      </c>
      <c r="E44" s="55"/>
      <c r="F44" s="3" t="str">
        <f>VLOOKUP($D$7,'Source Data'!$A$2:$EU$28,35,FALSE)</f>
        <v>xxxxxxxxxxx</v>
      </c>
      <c r="G44" s="4"/>
    </row>
    <row r="45" spans="2:7" ht="45" customHeight="1">
      <c r="B45" s="80">
        <v>5.3999999999999995</v>
      </c>
      <c r="C45" s="3"/>
      <c r="D45" s="54" t="s">
        <v>88</v>
      </c>
      <c r="E45" s="55"/>
      <c r="F45" s="3" t="str">
        <f>VLOOKUP($D$7,'Source Data'!$A$2:$EU$28,36,FALSE)</f>
        <v>xxxxxxxxxxx</v>
      </c>
      <c r="G45" s="4"/>
    </row>
    <row r="46" spans="2:7" ht="27" customHeight="1">
      <c r="B46" s="81">
        <v>6</v>
      </c>
      <c r="C46" s="3" t="s">
        <v>249</v>
      </c>
      <c r="D46" s="56" t="s">
        <v>89</v>
      </c>
      <c r="E46" s="55"/>
      <c r="F46" s="3"/>
      <c r="G46" s="4"/>
    </row>
    <row r="47" spans="2:7" ht="45" customHeight="1">
      <c r="B47" s="80">
        <v>6.1</v>
      </c>
      <c r="C47" s="3"/>
      <c r="D47" s="54" t="s">
        <v>90</v>
      </c>
      <c r="E47" s="55"/>
      <c r="F47" s="3" t="str">
        <f>VLOOKUP($D$7,'Source Data'!$A$2:$EU$28,38,FALSE)</f>
        <v>xxxxxxxxxxx</v>
      </c>
      <c r="G47" s="4" t="s">
        <v>178</v>
      </c>
    </row>
    <row r="48" spans="2:7" ht="31.15" customHeight="1">
      <c r="B48" s="81">
        <v>7</v>
      </c>
      <c r="C48" s="3" t="s">
        <v>250</v>
      </c>
      <c r="D48" s="56" t="s">
        <v>100</v>
      </c>
      <c r="E48" s="55"/>
      <c r="F48" s="3"/>
      <c r="G48" s="4"/>
    </row>
    <row r="49" spans="2:7" ht="45" customHeight="1">
      <c r="B49" s="80">
        <v>7.1</v>
      </c>
      <c r="C49" s="3"/>
      <c r="D49" s="54" t="s">
        <v>93</v>
      </c>
      <c r="E49" s="55"/>
      <c r="F49" s="3" t="str">
        <f>VLOOKUP($D$7,'Source Data'!$A$2:$EU$28,49,FALSE)</f>
        <v>xxxxxxxxxxx</v>
      </c>
      <c r="G49" s="4"/>
    </row>
    <row r="50" spans="2:7" ht="45" customHeight="1">
      <c r="B50" s="80">
        <v>7.2</v>
      </c>
      <c r="C50" s="3"/>
      <c r="D50" s="54" t="s">
        <v>94</v>
      </c>
      <c r="E50" s="55"/>
      <c r="F50" s="3" t="str">
        <f>VLOOKUP($D$7,'Source Data'!$A$2:$EU$28,50,FALSE)</f>
        <v>xxxxxxxxxxx</v>
      </c>
      <c r="G50" s="4"/>
    </row>
    <row r="51" spans="2:7" ht="45" customHeight="1">
      <c r="B51" s="80">
        <v>7.3</v>
      </c>
      <c r="C51" s="3"/>
      <c r="D51" s="54" t="s">
        <v>95</v>
      </c>
      <c r="E51" s="55"/>
      <c r="F51" s="3" t="str">
        <f>VLOOKUP($D$7,'Source Data'!$A$2:$EU$28,51,FALSE)</f>
        <v>xxxxxxxxxxx</v>
      </c>
      <c r="G51" s="4"/>
    </row>
    <row r="52" spans="2:7" ht="45" customHeight="1">
      <c r="B52" s="80">
        <v>7.4</v>
      </c>
      <c r="C52" s="3"/>
      <c r="D52" s="54" t="s">
        <v>96</v>
      </c>
      <c r="E52" s="55" t="s">
        <v>251</v>
      </c>
      <c r="F52" s="3" t="str">
        <f>VLOOKUP($D$7,'Source Data'!$A$2:$EU$28,52,FALSE)</f>
        <v>≥ 31</v>
      </c>
      <c r="G52" s="4"/>
    </row>
    <row r="53" spans="2:7" ht="45" customHeight="1">
      <c r="B53" s="80">
        <v>7.5</v>
      </c>
      <c r="C53" s="3"/>
      <c r="D53" s="54" t="s">
        <v>97</v>
      </c>
      <c r="E53" s="55"/>
      <c r="F53" s="3" t="str">
        <f>VLOOKUP($D$7,'Source Data'!$A$2:$EU$28,53,FALSE)</f>
        <v>Base</v>
      </c>
      <c r="G53" s="4"/>
    </row>
    <row r="54" spans="2:7" ht="45" customHeight="1">
      <c r="B54" s="80">
        <v>7.6</v>
      </c>
      <c r="C54" s="3"/>
      <c r="D54" s="54" t="s">
        <v>98</v>
      </c>
      <c r="E54" s="55"/>
      <c r="F54" s="3" t="str">
        <f>VLOOKUP($D$7,'Source Data'!$A$2:$EU$28,54,FALSE)</f>
        <v>Draw lead</v>
      </c>
      <c r="G54" s="4"/>
    </row>
    <row r="55" spans="2:7" ht="45" customHeight="1">
      <c r="B55" s="80">
        <v>7.7</v>
      </c>
      <c r="C55" s="3"/>
      <c r="D55" s="54" t="s">
        <v>99</v>
      </c>
      <c r="E55" s="55"/>
      <c r="F55" s="3" t="str">
        <f>VLOOKUP($D$7,'Source Data'!$A$2:$EU$28,55,FALSE)</f>
        <v>M12</v>
      </c>
      <c r="G55" s="4"/>
    </row>
    <row r="56" spans="2:7" ht="45" customHeight="1">
      <c r="B56" s="80">
        <v>7.8</v>
      </c>
      <c r="C56" s="3" t="s">
        <v>250</v>
      </c>
      <c r="D56" s="56" t="s">
        <v>101</v>
      </c>
      <c r="E56" s="55"/>
      <c r="F56" s="3"/>
      <c r="G56" s="4"/>
    </row>
    <row r="57" spans="2:7" ht="45" customHeight="1">
      <c r="B57" s="80">
        <v>7.9</v>
      </c>
      <c r="C57" s="3"/>
      <c r="D57" s="2" t="s">
        <v>93</v>
      </c>
      <c r="E57" s="55"/>
      <c r="F57" s="3" t="str">
        <f>VLOOKUP($D$7,'Source Data'!$A$2:$EU$28,57,FALSE)</f>
        <v>xxxxxxxxxxx</v>
      </c>
      <c r="G57" s="4"/>
    </row>
    <row r="58" spans="2:7" ht="45" customHeight="1">
      <c r="B58" s="82" t="s">
        <v>252</v>
      </c>
      <c r="C58" s="3"/>
      <c r="D58" s="2" t="s">
        <v>94</v>
      </c>
      <c r="E58" s="55"/>
      <c r="F58" s="3" t="str">
        <f>VLOOKUP($D$7,'Source Data'!$A$2:$EU$28,58,FALSE)</f>
        <v>xxxxxxxxxxx</v>
      </c>
      <c r="G58" s="4"/>
    </row>
    <row r="59" spans="2:7" ht="45" customHeight="1">
      <c r="B59" s="82" t="s">
        <v>253</v>
      </c>
      <c r="C59" s="3"/>
      <c r="D59" s="2" t="s">
        <v>95</v>
      </c>
      <c r="E59" s="55"/>
      <c r="F59" s="3" t="str">
        <f>VLOOKUP($D$7,'Source Data'!$A$2:$EU$28,59,FALSE)</f>
        <v>xxxxxxxxxxx</v>
      </c>
      <c r="G59" s="4"/>
    </row>
    <row r="60" spans="2:7" ht="45" customHeight="1">
      <c r="B60" s="82" t="s">
        <v>254</v>
      </c>
      <c r="C60" s="3"/>
      <c r="D60" s="2" t="s">
        <v>96</v>
      </c>
      <c r="E60" s="55"/>
      <c r="F60" s="3" t="str">
        <f>VLOOKUP($D$7,'Source Data'!$A$2:$EU$28,60,FALSE)</f>
        <v>≥ 31</v>
      </c>
      <c r="G60" s="4"/>
    </row>
    <row r="61" spans="2:7" ht="45" customHeight="1">
      <c r="B61" s="82" t="s">
        <v>255</v>
      </c>
      <c r="C61" s="3"/>
      <c r="D61" s="2" t="s">
        <v>97</v>
      </c>
      <c r="E61" s="55"/>
      <c r="F61" s="3" t="str">
        <f>VLOOKUP($D$7,'Source Data'!$A$2:$EU$28,61,FALSE)</f>
        <v>Base</v>
      </c>
      <c r="G61" s="4"/>
    </row>
    <row r="62" spans="2:7" ht="45" customHeight="1">
      <c r="B62" s="82" t="s">
        <v>256</v>
      </c>
      <c r="C62" s="3"/>
      <c r="D62" s="2" t="s">
        <v>98</v>
      </c>
      <c r="E62" s="55"/>
      <c r="F62" s="3" t="str">
        <f>VLOOKUP($D$7,'Source Data'!$A$2:$EU$28,62,FALSE)</f>
        <v>Draw lead</v>
      </c>
      <c r="G62" s="4"/>
    </row>
    <row r="63" spans="2:7" ht="45" customHeight="1">
      <c r="B63" s="82" t="s">
        <v>257</v>
      </c>
      <c r="C63" s="3"/>
      <c r="D63" s="2" t="s">
        <v>99</v>
      </c>
      <c r="E63" s="55"/>
      <c r="F63" s="3" t="str">
        <f>VLOOKUP($D$7,'Source Data'!$A$2:$EU$28,63,FALSE)</f>
        <v>M12</v>
      </c>
      <c r="G63" s="4"/>
    </row>
    <row r="64" spans="2:7" ht="15.6">
      <c r="B64" s="81">
        <v>8</v>
      </c>
      <c r="C64" s="3" t="s">
        <v>250</v>
      </c>
      <c r="D64" s="56" t="s">
        <v>102</v>
      </c>
      <c r="E64" s="55"/>
      <c r="F64" s="3"/>
      <c r="G64" s="4"/>
    </row>
    <row r="65" spans="2:7" ht="45" customHeight="1">
      <c r="B65" s="80">
        <v>8.1</v>
      </c>
      <c r="C65" s="3"/>
      <c r="D65" s="54" t="s">
        <v>93</v>
      </c>
      <c r="E65" s="55"/>
      <c r="F65" s="3" t="str">
        <f>VLOOKUP($D$7,'Source Data'!$A$2:$EU$28,65,FALSE)</f>
        <v>xxxxxxxxxxx</v>
      </c>
      <c r="G65" s="4"/>
    </row>
    <row r="66" spans="2:7" ht="45" customHeight="1">
      <c r="B66" s="80">
        <v>8.1999999999999993</v>
      </c>
      <c r="C66" s="3"/>
      <c r="D66" s="54" t="s">
        <v>94</v>
      </c>
      <c r="E66" s="55"/>
      <c r="F66" s="3" t="str">
        <f>VLOOKUP($D$7,'Source Data'!$A$2:$EU$28,66,FALSE)</f>
        <v>xxxxxxxxxxx</v>
      </c>
      <c r="G66" s="4"/>
    </row>
    <row r="67" spans="2:7" ht="45" customHeight="1">
      <c r="B67" s="80">
        <v>8.3000000000000007</v>
      </c>
      <c r="C67" s="3"/>
      <c r="D67" s="54" t="s">
        <v>95</v>
      </c>
      <c r="E67" s="55"/>
      <c r="F67" s="3" t="str">
        <f>VLOOKUP($D$7,'Source Data'!$A$2:$EU$28,67,FALSE)</f>
        <v>xxxxxxxxxxx</v>
      </c>
      <c r="G67" s="4"/>
    </row>
    <row r="68" spans="2:7" ht="45" customHeight="1">
      <c r="B68" s="80">
        <v>8.4</v>
      </c>
      <c r="C68" s="3"/>
      <c r="D68" s="54" t="s">
        <v>99</v>
      </c>
      <c r="E68" s="55"/>
      <c r="F68" s="3" t="str">
        <f>VLOOKUP($D$7,'Source Data'!$A$2:$EU$28,68,FALSE)</f>
        <v>M12</v>
      </c>
      <c r="G68" s="4"/>
    </row>
    <row r="69" spans="2:7" ht="28.15" customHeight="1">
      <c r="B69" s="81">
        <v>9</v>
      </c>
      <c r="C69" s="3" t="s">
        <v>258</v>
      </c>
      <c r="D69" s="56" t="s">
        <v>105</v>
      </c>
      <c r="E69" s="55"/>
      <c r="F69" s="3"/>
      <c r="G69" s="4"/>
    </row>
    <row r="70" spans="2:7" ht="45" customHeight="1">
      <c r="B70" s="80">
        <v>9.1</v>
      </c>
      <c r="C70" s="3"/>
      <c r="D70" s="54" t="s">
        <v>106</v>
      </c>
      <c r="E70" s="55"/>
      <c r="F70" s="3" t="str">
        <f>VLOOKUP($D$7,'Source Data'!$A$2:$EU$28,72,FALSE)</f>
        <v>Distribution</v>
      </c>
      <c r="G70" s="4" t="s">
        <v>178</v>
      </c>
    </row>
    <row r="71" spans="2:7" ht="45" customHeight="1">
      <c r="B71" s="80">
        <v>9.1999999999999993</v>
      </c>
      <c r="C71" s="3"/>
      <c r="D71" s="54" t="s">
        <v>107</v>
      </c>
      <c r="E71" s="55" t="s">
        <v>259</v>
      </c>
      <c r="F71" s="3">
        <f>VLOOKUP($D$7,'Source Data'!$A$2:$EU$28,73,FALSE)</f>
        <v>80500</v>
      </c>
      <c r="G71" s="4" t="s">
        <v>178</v>
      </c>
    </row>
    <row r="72" spans="2:7" ht="45" customHeight="1">
      <c r="B72" s="80">
        <v>9.3000000000000007</v>
      </c>
      <c r="C72" s="3"/>
      <c r="D72" s="54" t="s">
        <v>108</v>
      </c>
      <c r="E72" s="55" t="s">
        <v>259</v>
      </c>
      <c r="F72" s="3">
        <f>VLOOKUP($D$7,'Source Data'!$A$2:$EU$28,74,FALSE)</f>
        <v>17500</v>
      </c>
      <c r="G72" s="4" t="s">
        <v>178</v>
      </c>
    </row>
    <row r="73" spans="2:7" ht="45" customHeight="1">
      <c r="B73" s="80">
        <v>9.4</v>
      </c>
      <c r="C73" s="3"/>
      <c r="D73" s="54" t="s">
        <v>260</v>
      </c>
      <c r="E73" s="55" t="s">
        <v>261</v>
      </c>
      <c r="F73" s="3">
        <v>540</v>
      </c>
      <c r="G73" s="4"/>
    </row>
    <row r="74" spans="2:7" ht="45" customHeight="1">
      <c r="B74" s="80">
        <v>9.5</v>
      </c>
      <c r="C74" s="3"/>
      <c r="D74" s="54" t="s">
        <v>262</v>
      </c>
      <c r="E74" s="55" t="s">
        <v>261</v>
      </c>
      <c r="F74" s="3">
        <v>200</v>
      </c>
      <c r="G74" s="4"/>
    </row>
    <row r="75" spans="2:7" ht="45" customHeight="1">
      <c r="B75" s="80">
        <v>9.6</v>
      </c>
      <c r="C75" s="3"/>
      <c r="D75" s="54" t="s">
        <v>263</v>
      </c>
      <c r="E75" s="55" t="s">
        <v>261</v>
      </c>
      <c r="F75" s="3">
        <v>4400</v>
      </c>
      <c r="G75" s="4"/>
    </row>
    <row r="76" spans="2:7" ht="27" customHeight="1">
      <c r="B76" s="81">
        <v>10</v>
      </c>
      <c r="C76" s="3" t="s">
        <v>258</v>
      </c>
      <c r="D76" s="57" t="s">
        <v>111</v>
      </c>
      <c r="E76" s="55"/>
      <c r="F76" s="3"/>
      <c r="G76" s="4"/>
    </row>
    <row r="77" spans="2:7" ht="45" customHeight="1">
      <c r="B77" s="80">
        <v>10.1</v>
      </c>
      <c r="C77" s="3"/>
      <c r="D77" s="58" t="s">
        <v>112</v>
      </c>
      <c r="E77" s="55" t="s">
        <v>264</v>
      </c>
      <c r="F77" s="59" t="str">
        <f>VLOOKUP($D$7,'Source Data'!$A$2:$EU$28,78,FALSE)</f>
        <v>4,0 to 5,0</v>
      </c>
      <c r="G77" s="4"/>
    </row>
    <row r="78" spans="2:7" ht="45" customHeight="1">
      <c r="B78" s="80">
        <v>10.199999999999999</v>
      </c>
      <c r="C78" s="3"/>
      <c r="D78" s="58" t="s">
        <v>113</v>
      </c>
      <c r="E78" s="55"/>
      <c r="F78" s="59" t="str">
        <f>VLOOKUP($D$7,'Source Data'!$A$2:$EU$28,79,FALSE)</f>
        <v>xxxxxxxxxx</v>
      </c>
      <c r="G78" s="4"/>
    </row>
    <row r="79" spans="2:7" ht="27" customHeight="1">
      <c r="B79" s="81">
        <v>11</v>
      </c>
      <c r="C79" s="3"/>
      <c r="D79" s="117" t="s">
        <v>299</v>
      </c>
      <c r="E79" s="55"/>
      <c r="F79" s="3"/>
      <c r="G79" s="4"/>
    </row>
    <row r="80" spans="2:7" ht="45" customHeight="1">
      <c r="B80" s="80">
        <v>11.1</v>
      </c>
      <c r="C80" s="3"/>
      <c r="D80" s="54" t="s">
        <v>115</v>
      </c>
      <c r="E80" s="55" t="s">
        <v>266</v>
      </c>
      <c r="F80" s="59" t="str">
        <f>VLOOKUP($D$7,'Source Data'!$A$2:$EU$28,81,FALSE)</f>
        <v>≤ 52</v>
      </c>
      <c r="G80" s="4"/>
    </row>
    <row r="81" spans="2:7" ht="22.15" customHeight="1">
      <c r="B81" s="81">
        <v>12</v>
      </c>
      <c r="C81" s="3"/>
      <c r="D81" s="56" t="s">
        <v>267</v>
      </c>
      <c r="E81" s="55"/>
      <c r="F81" s="3"/>
      <c r="G81" s="4"/>
    </row>
    <row r="82" spans="2:7" ht="45" customHeight="1">
      <c r="B82" s="80">
        <v>12.1</v>
      </c>
      <c r="C82" s="3"/>
      <c r="D82" s="54" t="s">
        <v>117</v>
      </c>
      <c r="E82" s="55"/>
      <c r="F82" s="59" t="str">
        <f>VLOOKUP($D$7,'Source Data'!$A$2:$EU$28,83,FALSE)</f>
        <v>xxxxxxxxxxx</v>
      </c>
      <c r="G82" s="4"/>
    </row>
    <row r="83" spans="2:7" ht="45" customHeight="1">
      <c r="B83" s="80">
        <v>12.2</v>
      </c>
      <c r="C83" s="3"/>
      <c r="D83" s="54" t="s">
        <v>118</v>
      </c>
      <c r="E83" s="55"/>
      <c r="F83" s="59" t="str">
        <f>VLOOKUP($D$7,'Source Data'!$A$2:$EU$28,84,FALSE)</f>
        <v>xxxxxxxxxxx</v>
      </c>
      <c r="G83" s="4"/>
    </row>
    <row r="84" spans="2:7" ht="21.6" customHeight="1">
      <c r="B84" s="81">
        <v>13</v>
      </c>
      <c r="C84" s="3"/>
      <c r="D84" s="56" t="s">
        <v>119</v>
      </c>
      <c r="E84" s="55"/>
      <c r="F84" s="3"/>
      <c r="G84" s="4"/>
    </row>
    <row r="85" spans="2:7" ht="45" customHeight="1">
      <c r="B85" s="80">
        <v>13.1</v>
      </c>
      <c r="C85" s="3"/>
      <c r="D85" s="54" t="s">
        <v>117</v>
      </c>
      <c r="E85" s="55"/>
      <c r="F85" s="59" t="str">
        <f>VLOOKUP($D$7,'Source Data'!$A$2:$EU$28,86,FALSE)</f>
        <v>xxxxxxxxxxx</v>
      </c>
      <c r="G85" s="4"/>
    </row>
    <row r="86" spans="2:7" ht="45" customHeight="1">
      <c r="B86" s="80">
        <v>13.2</v>
      </c>
      <c r="C86" s="3"/>
      <c r="D86" s="54" t="s">
        <v>118</v>
      </c>
      <c r="E86" s="55"/>
      <c r="F86" s="59" t="str">
        <f>VLOOKUP($D$7,'Source Data'!$A$2:$EU$28,87,FALSE)</f>
        <v>xxxxxxxxxxx</v>
      </c>
      <c r="G86" s="4"/>
    </row>
    <row r="87" spans="2:7" ht="24.6" customHeight="1">
      <c r="B87" s="81">
        <v>14</v>
      </c>
      <c r="C87" s="3"/>
      <c r="D87" s="56" t="s">
        <v>120</v>
      </c>
      <c r="E87" s="55"/>
      <c r="F87" s="3"/>
      <c r="G87" s="4"/>
    </row>
    <row r="88" spans="2:7" ht="45" customHeight="1">
      <c r="B88" s="80">
        <v>14.1</v>
      </c>
      <c r="C88" s="3"/>
      <c r="D88" s="54" t="s">
        <v>121</v>
      </c>
      <c r="E88" s="55"/>
      <c r="F88" s="59" t="str">
        <f>VLOOKUP($D$7,'Source Data'!$A$2:$EU$28,89,FALSE)</f>
        <v>Steel or Amporphous</v>
      </c>
      <c r="G88" s="4"/>
    </row>
    <row r="89" spans="2:7" ht="45" customHeight="1">
      <c r="B89" s="80">
        <v>14.2</v>
      </c>
      <c r="C89" s="3"/>
      <c r="D89" s="54" t="s">
        <v>122</v>
      </c>
      <c r="E89" s="55"/>
      <c r="F89" s="59" t="str">
        <f>VLOOKUP($D$7,'Source Data'!$A$2:$EU$28,90,FALSE)</f>
        <v>xxxxxxxxxxx</v>
      </c>
      <c r="G89" s="4"/>
    </row>
    <row r="90" spans="2:7" ht="45" customHeight="1">
      <c r="B90" s="80">
        <v>14.3</v>
      </c>
      <c r="C90" s="3"/>
      <c r="D90" s="54" t="s">
        <v>123</v>
      </c>
      <c r="E90" s="55"/>
      <c r="F90" s="59" t="str">
        <f>VLOOKUP($D$7,'Source Data'!$A$2:$EU$28,91,FALSE)</f>
        <v>xxxxxxxxxxx</v>
      </c>
      <c r="G90" s="4"/>
    </row>
    <row r="91" spans="2:7" ht="45" customHeight="1">
      <c r="B91" s="80">
        <v>14.4</v>
      </c>
      <c r="C91" s="3"/>
      <c r="D91" s="54" t="s">
        <v>124</v>
      </c>
      <c r="E91" s="55"/>
      <c r="F91" s="59" t="str">
        <f>VLOOKUP($D$7,'Source Data'!$A$2:$EU$28,92,FALSE)</f>
        <v>xxxxxxxxxxx</v>
      </c>
      <c r="G91" s="4"/>
    </row>
    <row r="92" spans="2:7" ht="23.45" customHeight="1">
      <c r="B92" s="81">
        <v>15</v>
      </c>
      <c r="C92" s="3" t="s">
        <v>268</v>
      </c>
      <c r="D92" s="57" t="s">
        <v>125</v>
      </c>
      <c r="E92" s="55"/>
      <c r="F92" s="59"/>
      <c r="G92" s="4"/>
    </row>
    <row r="93" spans="2:7" ht="45" customHeight="1">
      <c r="B93" s="80">
        <v>15.1</v>
      </c>
      <c r="C93" s="3"/>
      <c r="D93" s="54" t="s">
        <v>126</v>
      </c>
      <c r="E93" s="55"/>
      <c r="F93" s="59" t="str">
        <f>VLOOKUP($D$7,'Source Data'!$A$2:$EU$28,94,FALSE)</f>
        <v>Sealed</v>
      </c>
      <c r="G93" s="4"/>
    </row>
    <row r="94" spans="2:7" ht="45" customHeight="1">
      <c r="B94" s="80">
        <v>15.2</v>
      </c>
      <c r="C94" s="3"/>
      <c r="D94" s="54" t="s">
        <v>127</v>
      </c>
      <c r="E94" s="55"/>
      <c r="F94" s="59" t="str">
        <f>VLOOKUP($D$7,'Source Data'!$A$2:$EU$28,95,FALSE)</f>
        <v>xxxxxxxxxx</v>
      </c>
      <c r="G94" s="4"/>
    </row>
    <row r="95" spans="2:7" ht="21.6" customHeight="1">
      <c r="B95" s="81">
        <v>16</v>
      </c>
      <c r="C95" s="3" t="s">
        <v>269</v>
      </c>
      <c r="D95" s="56" t="s">
        <v>128</v>
      </c>
      <c r="E95" s="55"/>
      <c r="F95" s="59"/>
      <c r="G95" s="4"/>
    </row>
    <row r="96" spans="2:7" ht="40.15" customHeight="1">
      <c r="B96" s="80">
        <v>16.100000000000001</v>
      </c>
      <c r="C96" s="3" t="s">
        <v>270</v>
      </c>
      <c r="D96" s="54" t="s">
        <v>129</v>
      </c>
      <c r="E96" s="55" t="s">
        <v>245</v>
      </c>
      <c r="F96" s="59" t="str">
        <f>VLOOKUP($D$7,'Source Data'!$A$2:$EU$28,97,FALSE)</f>
        <v>≤ 1 800</v>
      </c>
      <c r="G96" s="4"/>
    </row>
    <row r="97" spans="2:7" ht="40.15" customHeight="1">
      <c r="B97" s="80">
        <v>16.2</v>
      </c>
      <c r="C97" s="3" t="s">
        <v>270</v>
      </c>
      <c r="D97" s="54" t="s">
        <v>130</v>
      </c>
      <c r="E97" s="55" t="s">
        <v>245</v>
      </c>
      <c r="F97" s="59" t="str">
        <f>VLOOKUP($D$7,'Source Data'!$A$2:$EU$28,98,FALSE)</f>
        <v xml:space="preserve">≤ 1 500 </v>
      </c>
      <c r="G97" s="4"/>
    </row>
    <row r="98" spans="2:7" ht="40.15" customHeight="1">
      <c r="B98" s="80">
        <v>16.3</v>
      </c>
      <c r="C98" s="3" t="s">
        <v>270</v>
      </c>
      <c r="D98" s="54" t="s">
        <v>131</v>
      </c>
      <c r="E98" s="55" t="s">
        <v>245</v>
      </c>
      <c r="F98" s="59" t="str">
        <f>VLOOKUP($D$7,'Source Data'!$A$2:$EU$28,99,FALSE)</f>
        <v>≤ 2000</v>
      </c>
      <c r="G98" s="4"/>
    </row>
    <row r="99" spans="2:7" ht="40.15" customHeight="1">
      <c r="B99" s="80">
        <v>16.399999999999999</v>
      </c>
      <c r="C99" s="3" t="s">
        <v>270</v>
      </c>
      <c r="D99" s="54" t="s">
        <v>132</v>
      </c>
      <c r="E99" s="55" t="s">
        <v>271</v>
      </c>
      <c r="F99" s="3" t="str">
        <f>VLOOKUP($D$7,'Source Data'!$A$2:$EU$28,100,FALSE)</f>
        <v>≤ 3500</v>
      </c>
      <c r="G99" s="4"/>
    </row>
    <row r="100" spans="2:7" ht="40.15" customHeight="1">
      <c r="B100" s="80">
        <v>16.5</v>
      </c>
      <c r="C100" s="3"/>
      <c r="D100" s="54" t="s">
        <v>133</v>
      </c>
      <c r="E100" s="55" t="s">
        <v>272</v>
      </c>
      <c r="F100" s="3" t="str">
        <f>VLOOKUP($D$7,'Source Data'!$A$2:$EU$28,101,FALSE)</f>
        <v>xxxxxxxxxxx</v>
      </c>
      <c r="G100" s="4"/>
    </row>
    <row r="101" spans="2:7" ht="40.15" customHeight="1">
      <c r="B101" s="80">
        <v>16.600000000000001</v>
      </c>
      <c r="C101" s="3"/>
      <c r="D101" s="54" t="s">
        <v>134</v>
      </c>
      <c r="E101" s="55" t="s">
        <v>245</v>
      </c>
      <c r="F101" s="3">
        <f>VLOOKUP($D$7,'Source Data'!$A$2:$EU$28,102,FALSE)</f>
        <v>400</v>
      </c>
      <c r="G101" s="4"/>
    </row>
    <row r="102" spans="2:7" ht="45" customHeight="1">
      <c r="B102" s="80">
        <v>16.7</v>
      </c>
      <c r="C102" s="3" t="s">
        <v>273</v>
      </c>
      <c r="D102" s="54" t="s">
        <v>135</v>
      </c>
      <c r="E102" s="55" t="s">
        <v>245</v>
      </c>
      <c r="F102" s="3">
        <f>VLOOKUP($D$7,'Source Data'!$A$2:$EU$28,103,FALSE)</f>
        <v>100</v>
      </c>
      <c r="G102" s="4"/>
    </row>
    <row r="103" spans="2:7" ht="25.9" customHeight="1">
      <c r="B103" s="81">
        <v>17</v>
      </c>
      <c r="C103" s="3" t="s">
        <v>273</v>
      </c>
      <c r="D103" s="56" t="s">
        <v>136</v>
      </c>
      <c r="E103" s="55"/>
      <c r="F103" s="3"/>
      <c r="G103" s="4"/>
    </row>
    <row r="104" spans="2:7" ht="45" customHeight="1">
      <c r="B104" s="80">
        <v>17.100000000000001</v>
      </c>
      <c r="C104" s="3"/>
      <c r="D104" s="54" t="s">
        <v>137</v>
      </c>
      <c r="E104" s="55"/>
      <c r="F104" s="3" t="str">
        <f>VLOOKUP($D$7,'Source Data'!$A$2:$EU$28,105,FALSE)</f>
        <v>No</v>
      </c>
      <c r="G104" s="4" t="s">
        <v>178</v>
      </c>
    </row>
    <row r="105" spans="2:7" ht="45" customHeight="1">
      <c r="B105" s="80" t="s">
        <v>274</v>
      </c>
      <c r="C105" s="83"/>
      <c r="D105" s="54" t="s">
        <v>138</v>
      </c>
      <c r="E105" s="55"/>
      <c r="F105" s="3" t="str">
        <f>VLOOKUP($D$7,'Source Data'!$A$2:$EU$28,106,FALSE)</f>
        <v>N/A</v>
      </c>
      <c r="G105" s="4" t="s">
        <v>178</v>
      </c>
    </row>
    <row r="106" spans="2:7" ht="45" customHeight="1">
      <c r="B106" s="80" t="s">
        <v>275</v>
      </c>
      <c r="C106" s="83"/>
      <c r="D106" s="58" t="s">
        <v>139</v>
      </c>
      <c r="E106" s="55"/>
      <c r="F106" s="3" t="str">
        <f>VLOOKUP($D$7,'Source Data'!$A$2:$EU$28,107,FALSE)</f>
        <v>N/A</v>
      </c>
      <c r="G106" s="4" t="s">
        <v>178</v>
      </c>
    </row>
    <row r="107" spans="2:7" ht="45" customHeight="1">
      <c r="B107" s="80" t="s">
        <v>276</v>
      </c>
      <c r="C107" s="83"/>
      <c r="D107" s="58" t="s">
        <v>140</v>
      </c>
      <c r="E107" s="55"/>
      <c r="F107" s="3" t="str">
        <f>VLOOKUP($D$7,'Source Data'!$A$2:$EU$28,108,FALSE)</f>
        <v>N/A</v>
      </c>
      <c r="G107" s="4" t="s">
        <v>178</v>
      </c>
    </row>
    <row r="108" spans="2:7" ht="45" customHeight="1">
      <c r="B108" s="80" t="s">
        <v>277</v>
      </c>
      <c r="C108" s="83"/>
      <c r="D108" s="58" t="s">
        <v>141</v>
      </c>
      <c r="E108" s="55"/>
      <c r="F108" s="3" t="str">
        <f>VLOOKUP($D$7,'Source Data'!$A$2:$EU$28,109,FALSE)</f>
        <v>N/A</v>
      </c>
      <c r="G108" s="4"/>
    </row>
    <row r="109" spans="2:7" ht="45" customHeight="1">
      <c r="B109" s="80">
        <v>17.2</v>
      </c>
      <c r="C109" s="3"/>
      <c r="D109" s="54" t="s">
        <v>142</v>
      </c>
      <c r="E109" s="55" t="s">
        <v>245</v>
      </c>
      <c r="F109" s="3" t="str">
        <f>VLOOKUP($D$7,'Source Data'!$A$2:$EU$28,110,FALSE)</f>
        <v>N/A</v>
      </c>
      <c r="G109" s="4" t="s">
        <v>178</v>
      </c>
    </row>
    <row r="110" spans="2:7" ht="45" customHeight="1">
      <c r="B110" s="80">
        <v>17.3</v>
      </c>
      <c r="C110" s="3"/>
      <c r="D110" s="54" t="s">
        <v>143</v>
      </c>
      <c r="E110" s="55" t="s">
        <v>245</v>
      </c>
      <c r="F110" s="3" t="str">
        <f>VLOOKUP($D$7,'Source Data'!$A$2:$EU$28,111,FALSE)</f>
        <v>N/A</v>
      </c>
      <c r="G110" s="4" t="s">
        <v>178</v>
      </c>
    </row>
    <row r="111" spans="2:7" ht="45" customHeight="1">
      <c r="B111" s="80">
        <v>17.399999999999999</v>
      </c>
      <c r="C111" s="3"/>
      <c r="D111" s="54" t="s">
        <v>144</v>
      </c>
      <c r="E111" s="55" t="s">
        <v>245</v>
      </c>
      <c r="F111" s="3" t="str">
        <f>VLOOKUP($D$7,'Source Data'!$A$2:$EU$28,112,FALSE)</f>
        <v>N/A</v>
      </c>
      <c r="G111" s="4" t="s">
        <v>178</v>
      </c>
    </row>
    <row r="112" spans="2:7" ht="45" customHeight="1">
      <c r="B112" s="80">
        <v>17.5</v>
      </c>
      <c r="C112" s="3"/>
      <c r="D112" s="54" t="s">
        <v>145</v>
      </c>
      <c r="E112" s="55" t="s">
        <v>245</v>
      </c>
      <c r="F112" s="3" t="str">
        <f>VLOOKUP($D$7,'Source Data'!$A$2:$EU$28,113,FALSE)</f>
        <v>N/A</v>
      </c>
      <c r="G112" s="4" t="s">
        <v>178</v>
      </c>
    </row>
    <row r="113" spans="2:7" ht="45" customHeight="1">
      <c r="B113" s="80">
        <v>17.600000000000001</v>
      </c>
      <c r="C113" s="3"/>
      <c r="D113" s="54" t="s">
        <v>146</v>
      </c>
      <c r="E113" s="55" t="s">
        <v>245</v>
      </c>
      <c r="F113" s="3" t="str">
        <f>VLOOKUP($D$7,'Source Data'!$A$2:$EU$28,114,FALSE)</f>
        <v>N/A</v>
      </c>
      <c r="G113" s="4" t="s">
        <v>178</v>
      </c>
    </row>
    <row r="114" spans="2:7" ht="45" customHeight="1">
      <c r="B114" s="81">
        <v>18</v>
      </c>
      <c r="C114" s="3" t="s">
        <v>278</v>
      </c>
      <c r="D114" s="56" t="s">
        <v>147</v>
      </c>
      <c r="E114" s="55"/>
      <c r="F114" s="3"/>
      <c r="G114" s="4"/>
    </row>
    <row r="115" spans="2:7" ht="45" customHeight="1">
      <c r="B115" s="80">
        <v>18.100000000000001</v>
      </c>
      <c r="C115" s="3"/>
      <c r="D115" s="54" t="s">
        <v>148</v>
      </c>
      <c r="E115" s="55"/>
      <c r="F115" s="3" t="str">
        <f>VLOOKUP($D$7,'Source Data'!$A$2:$EU$28,116,FALSE)</f>
        <v>Yes</v>
      </c>
      <c r="G115" s="4" t="s">
        <v>178</v>
      </c>
    </row>
    <row r="116" spans="2:7" ht="45" customHeight="1">
      <c r="B116" s="80">
        <v>18.2</v>
      </c>
      <c r="C116" s="3" t="s">
        <v>279</v>
      </c>
      <c r="D116" s="54" t="s">
        <v>149</v>
      </c>
      <c r="E116" s="55" t="s">
        <v>245</v>
      </c>
      <c r="F116" s="3">
        <f>VLOOKUP($D$7,'Source Data'!$A$2:$EU$28,117,FALSE)</f>
        <v>400</v>
      </c>
      <c r="G116" s="4"/>
    </row>
    <row r="117" spans="2:7" ht="45" customHeight="1">
      <c r="B117" s="80">
        <v>18.3</v>
      </c>
      <c r="C117" s="3" t="s">
        <v>279</v>
      </c>
      <c r="D117" s="54" t="s">
        <v>150</v>
      </c>
      <c r="E117" s="55" t="s">
        <v>245</v>
      </c>
      <c r="F117" s="3" t="str">
        <f>VLOOKUP($D$7,'Source Data'!$A$2:$EU$28,118,FALSE)</f>
        <v>xxxxxxxxxxx</v>
      </c>
      <c r="G117" s="4"/>
    </row>
    <row r="118" spans="2:7" ht="45" customHeight="1">
      <c r="B118" s="80">
        <v>18.399999999999999</v>
      </c>
      <c r="C118" s="3" t="s">
        <v>279</v>
      </c>
      <c r="D118" s="54" t="s">
        <v>151</v>
      </c>
      <c r="E118" s="55" t="s">
        <v>245</v>
      </c>
      <c r="F118" s="3" t="str">
        <f>VLOOKUP($D$7,'Source Data'!$A$2:$EU$28,119,FALSE)</f>
        <v>≥ 320</v>
      </c>
      <c r="G118" s="4"/>
    </row>
    <row r="119" spans="2:7" ht="45" customHeight="1">
      <c r="B119" s="80">
        <v>18.5</v>
      </c>
      <c r="C119" s="3" t="s">
        <v>279</v>
      </c>
      <c r="D119" s="54" t="s">
        <v>152</v>
      </c>
      <c r="E119" s="55" t="s">
        <v>245</v>
      </c>
      <c r="F119" s="3" t="str">
        <f>VLOOKUP($D$7,'Source Data'!$A$2:$EU$28,110,FALSE)</f>
        <v>N/A</v>
      </c>
      <c r="G119" s="4"/>
    </row>
    <row r="120" spans="2:7" ht="45" customHeight="1">
      <c r="B120" s="80">
        <v>18.600000000000001</v>
      </c>
      <c r="C120" s="3" t="s">
        <v>279</v>
      </c>
      <c r="D120" s="54" t="s">
        <v>145</v>
      </c>
      <c r="E120" s="55" t="s">
        <v>245</v>
      </c>
      <c r="F120" s="3" t="str">
        <f>VLOOKUP($D$7,'Source Data'!$A$2:$EU$28,111,FALSE)</f>
        <v>N/A</v>
      </c>
      <c r="G120" s="4"/>
    </row>
    <row r="121" spans="2:7" ht="45" customHeight="1">
      <c r="B121" s="81">
        <v>19</v>
      </c>
      <c r="C121" s="3" t="s">
        <v>280</v>
      </c>
      <c r="D121" s="56" t="s">
        <v>153</v>
      </c>
      <c r="E121" s="55"/>
      <c r="F121" s="3"/>
      <c r="G121" s="4"/>
    </row>
    <row r="122" spans="2:7" ht="45" customHeight="1">
      <c r="B122" s="80">
        <v>19.100000000000001</v>
      </c>
      <c r="C122" s="3"/>
      <c r="D122" s="54" t="s">
        <v>154</v>
      </c>
      <c r="E122" s="55"/>
      <c r="F122" s="3" t="str">
        <f>VLOOKUP($D$7,'Source Data'!$A$2:$EU$28,123,FALSE)</f>
        <v>Yes</v>
      </c>
      <c r="G122" s="4"/>
    </row>
    <row r="123" spans="2:7" ht="45" customHeight="1">
      <c r="B123" s="80">
        <v>19.2</v>
      </c>
      <c r="C123" s="3"/>
      <c r="D123" s="54" t="s">
        <v>155</v>
      </c>
      <c r="E123" s="55" t="s">
        <v>245</v>
      </c>
      <c r="F123" s="3" t="str">
        <f>VLOOKUP($D$7,'Source Data'!$A$2:$EU$28,124,FALSE)</f>
        <v xml:space="preserve">≥ 30 </v>
      </c>
      <c r="G123" s="4"/>
    </row>
    <row r="124" spans="2:7" ht="45" customHeight="1">
      <c r="B124" s="81">
        <v>20</v>
      </c>
      <c r="C124" s="3" t="s">
        <v>281</v>
      </c>
      <c r="D124" s="56" t="s">
        <v>156</v>
      </c>
      <c r="E124" s="55"/>
      <c r="F124" s="3"/>
      <c r="G124" s="4"/>
    </row>
    <row r="125" spans="2:7" ht="45" customHeight="1">
      <c r="B125" s="80">
        <v>20.100000000000001</v>
      </c>
      <c r="C125" s="3"/>
      <c r="D125" s="54" t="s">
        <v>157</v>
      </c>
      <c r="E125" s="55"/>
      <c r="F125" s="3" t="str">
        <f>VLOOKUP($D$7,'Source Data'!$A$2:$EU$28,126,FALSE)</f>
        <v>316 Stainless Steel or Mild Steel</v>
      </c>
      <c r="G125" s="4"/>
    </row>
    <row r="126" spans="2:7" ht="45" customHeight="1">
      <c r="B126" s="80">
        <v>20.2</v>
      </c>
      <c r="C126" s="3"/>
      <c r="D126" s="54" t="s">
        <v>158</v>
      </c>
      <c r="E126" s="55" t="s">
        <v>245</v>
      </c>
      <c r="F126" s="3" t="str">
        <f>VLOOKUP($D$7,'Source Data'!$A$2:$EU$28,127,FALSE)</f>
        <v>≥ 30</v>
      </c>
      <c r="G126" s="4"/>
    </row>
    <row r="127" spans="2:7" ht="45" customHeight="1">
      <c r="B127" s="80">
        <v>20.3</v>
      </c>
      <c r="C127" s="3"/>
      <c r="D127" s="54" t="s">
        <v>159</v>
      </c>
      <c r="E127" s="55"/>
      <c r="F127" s="3" t="str">
        <f>VLOOKUP($D$7,'Source Data'!$A$2:$EU$28,128,FALSE)</f>
        <v>316 Stainless Steel or Mild Steel</v>
      </c>
      <c r="G127" s="4"/>
    </row>
    <row r="128" spans="2:7" ht="45" customHeight="1">
      <c r="B128" s="80">
        <v>20.399999999999999</v>
      </c>
      <c r="C128" s="3"/>
      <c r="D128" s="54" t="s">
        <v>160</v>
      </c>
      <c r="E128" s="55" t="s">
        <v>245</v>
      </c>
      <c r="F128" s="3" t="str">
        <f>VLOOKUP($D$7,'Source Data'!$A$2:$EU$28,129,FALSE)</f>
        <v xml:space="preserve">M12 x 25 </v>
      </c>
      <c r="G128" s="4"/>
    </row>
    <row r="129" spans="2:7" ht="45" customHeight="1">
      <c r="B129" s="80">
        <v>20.5</v>
      </c>
      <c r="C129" s="3"/>
      <c r="D129" s="54" t="s">
        <v>161</v>
      </c>
      <c r="E129" s="55"/>
      <c r="F129" s="3" t="str">
        <f>VLOOKUP($D$7,'Source Data'!$A$2:$EU$28,130,FALSE)</f>
        <v>Yes</v>
      </c>
      <c r="G129" s="4"/>
    </row>
    <row r="130" spans="2:7" ht="45" customHeight="1">
      <c r="B130" s="81">
        <v>21</v>
      </c>
      <c r="C130" s="3" t="s">
        <v>282</v>
      </c>
      <c r="D130" s="56" t="s">
        <v>162</v>
      </c>
      <c r="E130" s="55"/>
      <c r="F130" s="3"/>
      <c r="G130" s="4"/>
    </row>
    <row r="131" spans="2:7" ht="45" customHeight="1">
      <c r="B131" s="80">
        <v>21.1</v>
      </c>
      <c r="C131" s="3"/>
      <c r="D131" s="54" t="s">
        <v>163</v>
      </c>
      <c r="E131" s="55"/>
      <c r="F131" s="3" t="str">
        <f>VLOOKUP($D$7,'Source Data'!$A$2:$EU$28,132,FALSE)</f>
        <v>Yes</v>
      </c>
      <c r="G131" s="4"/>
    </row>
    <row r="132" spans="2:7" ht="45" customHeight="1">
      <c r="B132" s="80">
        <v>21.2</v>
      </c>
      <c r="C132" s="3" t="s">
        <v>283</v>
      </c>
      <c r="D132" s="54" t="s">
        <v>145</v>
      </c>
      <c r="E132" s="55" t="s">
        <v>245</v>
      </c>
      <c r="F132" s="3">
        <f>VLOOKUP($D$7,'Source Data'!$A$2:$EU$28,133,FALSE)</f>
        <v>14</v>
      </c>
      <c r="G132" s="4"/>
    </row>
    <row r="133" spans="2:7" ht="45" customHeight="1">
      <c r="B133" s="80">
        <v>21.3</v>
      </c>
      <c r="C133" s="3" t="s">
        <v>283</v>
      </c>
      <c r="D133" s="54" t="s">
        <v>164</v>
      </c>
      <c r="E133" s="55" t="s">
        <v>245</v>
      </c>
      <c r="F133" s="3" t="str">
        <f>VLOOKUP($D$7,'Source Data'!$A$2:$EU$28,134,FALSE)</f>
        <v>≥ 200</v>
      </c>
      <c r="G133" s="4"/>
    </row>
    <row r="134" spans="2:7" ht="45" customHeight="1">
      <c r="B134" s="80">
        <v>21.4</v>
      </c>
      <c r="C134" s="3" t="s">
        <v>283</v>
      </c>
      <c r="D134" s="54" t="s">
        <v>165</v>
      </c>
      <c r="E134" s="55" t="s">
        <v>245</v>
      </c>
      <c r="F134" s="3" t="str">
        <f>VLOOKUP($D$7,'Source Data'!$A$2:$EU$28,135,FALSE)</f>
        <v xml:space="preserve">≥ 400 </v>
      </c>
      <c r="G134" s="4"/>
    </row>
    <row r="135" spans="2:7" ht="45" customHeight="1">
      <c r="B135" s="80">
        <v>21.5</v>
      </c>
      <c r="C135" s="3" t="s">
        <v>283</v>
      </c>
      <c r="D135" s="54" t="s">
        <v>166</v>
      </c>
      <c r="E135" s="55" t="s">
        <v>245</v>
      </c>
      <c r="F135" s="3" t="str">
        <f>VLOOKUP($D$7,'Source Data'!$A$2:$EU$28,136,FALSE)</f>
        <v>≥ 150</v>
      </c>
      <c r="G135" s="4"/>
    </row>
    <row r="136" spans="2:7" ht="45" customHeight="1">
      <c r="B136" s="81">
        <v>22</v>
      </c>
      <c r="C136" s="60">
        <v>3.4</v>
      </c>
      <c r="D136" s="61" t="s">
        <v>173</v>
      </c>
      <c r="E136" s="62"/>
      <c r="F136" s="60"/>
      <c r="G136" s="63"/>
    </row>
    <row r="137" spans="2:7" ht="45" customHeight="1">
      <c r="B137" s="80">
        <v>22.1</v>
      </c>
      <c r="C137" s="3"/>
      <c r="D137" s="64" t="s">
        <v>174</v>
      </c>
      <c r="E137" s="55"/>
      <c r="F137" s="3"/>
      <c r="G137" s="4"/>
    </row>
    <row r="138" spans="2:7" ht="45" customHeight="1">
      <c r="B138" s="80">
        <v>22.2</v>
      </c>
      <c r="C138" s="3"/>
      <c r="D138" s="64" t="s">
        <v>169</v>
      </c>
      <c r="E138" s="55"/>
      <c r="F138" s="3" t="str">
        <f>VLOOKUP($D$7,'Source Data'!$A$2:$EU$28,145,FALSE)</f>
        <v>xxxxxxxxxxx</v>
      </c>
      <c r="G138" s="4"/>
    </row>
    <row r="139" spans="2:7" ht="45" customHeight="1">
      <c r="B139" s="80">
        <v>22.3</v>
      </c>
      <c r="C139" s="3"/>
      <c r="D139" s="64" t="s">
        <v>170</v>
      </c>
      <c r="E139" s="55"/>
      <c r="F139" s="3" t="str">
        <f>VLOOKUP($D$7,'Source Data'!$A$2:$EU$28,146,FALSE)</f>
        <v>xxxxxxxxxxx</v>
      </c>
      <c r="G139" s="4"/>
    </row>
    <row r="140" spans="2:7" ht="45" customHeight="1">
      <c r="B140" s="80">
        <v>22.4</v>
      </c>
      <c r="C140" s="84"/>
      <c r="D140" s="64" t="s">
        <v>171</v>
      </c>
      <c r="E140" s="65"/>
      <c r="F140" s="3" t="str">
        <f>VLOOKUP($D$7,'Source Data'!$A$2:$EU$28,147,FALSE)</f>
        <v>xxxxxxxxxxx</v>
      </c>
      <c r="G140" s="66"/>
    </row>
    <row r="141" spans="2:7" ht="45" customHeight="1">
      <c r="B141" s="80">
        <v>22.5</v>
      </c>
      <c r="C141" s="84"/>
      <c r="D141" s="64" t="s">
        <v>172</v>
      </c>
      <c r="E141" s="65"/>
      <c r="F141" s="3" t="str">
        <f>VLOOKUP($D$7,'Source Data'!$A$2:$EU$28,148,FALSE)</f>
        <v>Azure Blue</v>
      </c>
      <c r="G141" s="66"/>
    </row>
    <row r="142" spans="2:7" ht="151.15">
      <c r="B142" s="85">
        <v>23</v>
      </c>
      <c r="C142" s="84">
        <v>4.2</v>
      </c>
      <c r="D142" s="61" t="s">
        <v>284</v>
      </c>
      <c r="E142" s="65"/>
      <c r="F142" s="3" t="str">
        <f>VLOOKUP($D$7,'Source Data'!$A$2:$EU$28,149,FALSE)</f>
        <v>Report Numbers</v>
      </c>
      <c r="G142" s="66"/>
    </row>
    <row r="143" spans="2:7" ht="241.9" thickBot="1">
      <c r="B143" s="86">
        <v>24</v>
      </c>
      <c r="C143" s="67">
        <v>4.3</v>
      </c>
      <c r="D143" s="68" t="s">
        <v>285</v>
      </c>
      <c r="E143" s="69"/>
      <c r="F143" s="67" t="str">
        <f>VLOOKUP($D$7,'Source Data'!$A$2:$EU$28,150,FALSE)</f>
        <v>Report Numbers</v>
      </c>
      <c r="G143" s="70"/>
    </row>
  </sheetData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&amp;CSWER Isolation, 400kVA 33kV/ 19kV* (Coastal, Ester Oil Only)</oddHeader>
  </headerFooter>
  <rowBreaks count="4" manualBreakCount="4">
    <brk id="37" min="1" max="6" man="1"/>
    <brk id="68" min="1" max="6" man="1"/>
    <brk id="102" min="1" max="6" man="1"/>
    <brk id="123" min="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Mashilo Moabelo</cp:lastModifiedBy>
  <cp:revision/>
  <dcterms:created xsi:type="dcterms:W3CDTF">2006-09-16T00:00:00Z</dcterms:created>
  <dcterms:modified xsi:type="dcterms:W3CDTF">2024-02-07T14:21:17Z</dcterms:modified>
  <cp:category/>
  <cp:contentStatus/>
</cp:coreProperties>
</file>