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comments4.xml" ContentType="application/vnd.openxmlformats-officedocument.spreadsheetml.comments+xml"/>
  <Override PartName="/xl/drawings/drawing11.xml" ContentType="application/vnd.openxmlformats-officedocument.drawing+xml"/>
  <Override PartName="/xl/tables/table8.xml" ContentType="application/vnd.openxmlformats-officedocument.spreadsheetml.table+xml"/>
  <Override PartName="/xl/comments5.xml" ContentType="application/vnd.openxmlformats-officedocument.spreadsheetml.comments+xml"/>
  <Override PartName="/xl/drawings/drawing12.xml" ContentType="application/vnd.openxmlformats-officedocument.drawing+xml"/>
  <Override PartName="/xl/tables/table9.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greyveai\Documents\Anita Greyvenstein\ASSURANCE DATA ANALYTICS\RFP Documents\TEC\"/>
    </mc:Choice>
  </mc:AlternateContent>
  <xr:revisionPtr revIDLastSave="0" documentId="8_{0C99AE86-9353-40DF-9C5E-7ADDD96B69F8}" xr6:coauthVersionLast="47" xr6:coauthVersionMax="47" xr10:uidLastSave="{00000000-0000-0000-0000-000000000000}"/>
  <bookViews>
    <workbookView xWindow="-120" yWindow="-120" windowWidth="20730" windowHeight="11040" tabRatio="850" firstSheet="1" activeTab="2" xr2:uid="{6B975A2E-C690-4C29-AFFA-C50A8BFE914F}"/>
  </bookViews>
  <sheets>
    <sheet name="TEC Development Guidelines" sheetId="2" state="hidden" r:id="rId1"/>
    <sheet name="Response Guidelines" sheetId="3" r:id="rId2"/>
    <sheet name="Scoring Summary" sheetId="4" r:id="rId3"/>
    <sheet name="Key Requirements" sheetId="8" r:id="rId4"/>
    <sheet name="Functional" sheetId="1" r:id="rId5"/>
    <sheet name="Non-Functional" sheetId="10" r:id="rId6"/>
    <sheet name="Security" sheetId="13" r:id="rId7"/>
    <sheet name="Demo" sheetId="14" r:id="rId8"/>
    <sheet name="Cloud" sheetId="11" state="hidden" r:id="rId9"/>
    <sheet name="Definitions and Abbreviations" sheetId="7" r:id="rId10"/>
    <sheet name="Gatekeepers remove" sheetId="5" state="hidden" r:id="rId11"/>
    <sheet name="Integration remove" sheetId="9" state="hidden" r:id="rId12"/>
    <sheet name="Testing remove" sheetId="12" state="hidden" r:id="rId13"/>
  </sheets>
  <definedNames>
    <definedName name="_xlnm.Print_Area" localSheetId="9">'Definitions and Abbreviations'!$A$1:$D$30</definedName>
    <definedName name="_xlnm.Print_Area" localSheetId="7">Demo!$A$1:$AH$65</definedName>
    <definedName name="_xlnm.Print_Area" localSheetId="10">'Gatekeepers remove'!$A$1:$H$14</definedName>
    <definedName name="_xlnm.Print_Area" localSheetId="5">'Non-Functional'!$A$1:$AJ$29</definedName>
    <definedName name="_xlnm.Print_Area" localSheetId="1">'Response Guidelines'!$A$1:$L$26</definedName>
    <definedName name="_xlnm.Print_Area" localSheetId="2">'Scoring Summary'!$A$1:$F$26</definedName>
    <definedName name="_xlnm.Print_Area" localSheetId="6">Security!$A$1:$AJ$38</definedName>
    <definedName name="_xlnm.Print_Area" localSheetId="0">'TEC Development Guidelines'!$A$1:$AJ$26</definedName>
    <definedName name="_xlnm.Print_Area" localSheetId="12">'Testing remove'!$A$1:$AJ$32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9" i="10" l="1" a="1"/>
  <c r="X29" i="10" s="1"/>
  <c r="AI29" i="10" s="1" a="1"/>
  <c r="AI29" i="10" s="1"/>
  <c r="W29" i="10" a="1"/>
  <c r="W29" i="10" s="1"/>
  <c r="AH29" i="10" s="1" a="1"/>
  <c r="AH29" i="10" s="1"/>
  <c r="V29" i="10" a="1"/>
  <c r="V29" i="10" s="1"/>
  <c r="AG29" i="10" s="1" a="1"/>
  <c r="AG29" i="10" s="1"/>
  <c r="U29" i="10" a="1"/>
  <c r="U29" i="10" s="1"/>
  <c r="AF29" i="10" s="1" a="1"/>
  <c r="AF29" i="10" s="1"/>
  <c r="T29" i="10" a="1"/>
  <c r="T29" i="10" s="1"/>
  <c r="AE29" i="10" s="1" a="1"/>
  <c r="AE29" i="10" s="1"/>
  <c r="S29" i="10" a="1"/>
  <c r="S29" i="10" s="1"/>
  <c r="AD29" i="10" s="1" a="1"/>
  <c r="AD29" i="10" s="1"/>
  <c r="R29" i="10" a="1"/>
  <c r="R29" i="10" s="1"/>
  <c r="AC29" i="10" s="1" a="1"/>
  <c r="AC29" i="10" s="1"/>
  <c r="Q29" i="10" a="1"/>
  <c r="Q29" i="10" s="1"/>
  <c r="AB29" i="10" s="1" a="1"/>
  <c r="AB29" i="10" s="1"/>
  <c r="P29" i="10" a="1"/>
  <c r="P29" i="10" s="1"/>
  <c r="AA29" i="10" s="1" a="1"/>
  <c r="AA29" i="10" s="1"/>
  <c r="O29" i="10" a="1"/>
  <c r="O29" i="10" s="1"/>
  <c r="N29" i="10" a="1"/>
  <c r="N29" i="10" s="1"/>
  <c r="G29" i="10" a="1"/>
  <c r="G29" i="10" s="1"/>
  <c r="X28" i="10" l="1" a="1"/>
  <c r="X28" i="10" s="1"/>
  <c r="AI28" i="10" s="1" a="1"/>
  <c r="AI28" i="10" s="1"/>
  <c r="W28" i="10" a="1"/>
  <c r="W28" i="10" s="1"/>
  <c r="AH28" i="10" s="1" a="1"/>
  <c r="AH28" i="10" s="1"/>
  <c r="V28" i="10" a="1"/>
  <c r="V28" i="10" s="1"/>
  <c r="AG28" i="10" s="1" a="1"/>
  <c r="AG28" i="10" s="1"/>
  <c r="U28" i="10" a="1"/>
  <c r="U28" i="10" s="1"/>
  <c r="AF28" i="10" s="1" a="1"/>
  <c r="AF28" i="10" s="1"/>
  <c r="T28" i="10" a="1"/>
  <c r="T28" i="10" s="1"/>
  <c r="AE28" i="10" s="1" a="1"/>
  <c r="AE28" i="10" s="1"/>
  <c r="S28" i="10" a="1"/>
  <c r="S28" i="10" s="1"/>
  <c r="AD28" i="10" s="1" a="1"/>
  <c r="AD28" i="10" s="1"/>
  <c r="R28" i="10" a="1"/>
  <c r="R28" i="10" s="1"/>
  <c r="AC28" i="10" s="1" a="1"/>
  <c r="AC28" i="10" s="1"/>
  <c r="Q28" i="10" a="1"/>
  <c r="Q28" i="10" s="1"/>
  <c r="AB28" i="10" s="1" a="1"/>
  <c r="AB28" i="10" s="1"/>
  <c r="P28" i="10" a="1"/>
  <c r="P28" i="10" s="1"/>
  <c r="O28" i="10" a="1"/>
  <c r="O28" i="10" s="1"/>
  <c r="N28" i="10" a="1"/>
  <c r="N28" i="10" s="1"/>
  <c r="G28" i="10" a="1"/>
  <c r="G28" i="10" s="1"/>
  <c r="X27" i="10" a="1"/>
  <c r="X27" i="10" s="1"/>
  <c r="AI27" i="10" s="1" a="1"/>
  <c r="AI27" i="10" s="1"/>
  <c r="W27" i="10" a="1"/>
  <c r="W27" i="10" s="1"/>
  <c r="AH27" i="10" s="1" a="1"/>
  <c r="AH27" i="10" s="1"/>
  <c r="V27" i="10" a="1"/>
  <c r="V27" i="10" s="1"/>
  <c r="AG27" i="10" s="1" a="1"/>
  <c r="AG27" i="10" s="1"/>
  <c r="U27" i="10" a="1"/>
  <c r="U27" i="10" s="1"/>
  <c r="AF27" i="10" s="1" a="1"/>
  <c r="AF27" i="10" s="1"/>
  <c r="T27" i="10" a="1"/>
  <c r="T27" i="10" s="1"/>
  <c r="AE27" i="10" s="1" a="1"/>
  <c r="AE27" i="10" s="1"/>
  <c r="S27" i="10" a="1"/>
  <c r="S27" i="10" s="1"/>
  <c r="AD27" i="10" s="1" a="1"/>
  <c r="AD27" i="10" s="1"/>
  <c r="R27" i="10" a="1"/>
  <c r="R27" i="10" s="1"/>
  <c r="AC27" i="10" s="1" a="1"/>
  <c r="AC27" i="10" s="1"/>
  <c r="Q27" i="10" a="1"/>
  <c r="Q27" i="10" s="1"/>
  <c r="AB27" i="10" s="1" a="1"/>
  <c r="AB27" i="10" s="1"/>
  <c r="P27" i="10" a="1"/>
  <c r="P27" i="10" s="1"/>
  <c r="O27" i="10" a="1"/>
  <c r="O27" i="10" s="1"/>
  <c r="N27" i="10" a="1"/>
  <c r="N27" i="10" s="1"/>
  <c r="G27" i="10" a="1"/>
  <c r="G27" i="10" s="1"/>
  <c r="X23" i="10" a="1"/>
  <c r="X23" i="10" s="1"/>
  <c r="AI23" i="10" s="1" a="1"/>
  <c r="AI23" i="10" s="1"/>
  <c r="W23" i="10" a="1"/>
  <c r="W23" i="10" s="1"/>
  <c r="AH23" i="10" s="1" a="1"/>
  <c r="AH23" i="10" s="1"/>
  <c r="V23" i="10" a="1"/>
  <c r="V23" i="10" s="1"/>
  <c r="AG23" i="10" s="1" a="1"/>
  <c r="AG23" i="10" s="1"/>
  <c r="U23" i="10" a="1"/>
  <c r="U23" i="10" s="1"/>
  <c r="AF23" i="10" s="1" a="1"/>
  <c r="AF23" i="10" s="1"/>
  <c r="T23" i="10" a="1"/>
  <c r="T23" i="10" s="1"/>
  <c r="AE23" i="10" s="1" a="1"/>
  <c r="AE23" i="10" s="1"/>
  <c r="S23" i="10" a="1"/>
  <c r="S23" i="10" s="1"/>
  <c r="AD23" i="10" s="1" a="1"/>
  <c r="AD23" i="10" s="1"/>
  <c r="R23" i="10" a="1"/>
  <c r="R23" i="10" s="1"/>
  <c r="AC23" i="10" s="1" a="1"/>
  <c r="AC23" i="10" s="1"/>
  <c r="Q23" i="10" a="1"/>
  <c r="Q23" i="10" s="1"/>
  <c r="AB23" i="10" s="1" a="1"/>
  <c r="AB23" i="10" s="1"/>
  <c r="P23" i="10" a="1"/>
  <c r="P23" i="10" s="1"/>
  <c r="O23" i="10" a="1"/>
  <c r="O23" i="10" s="1"/>
  <c r="N23" i="10" a="1"/>
  <c r="N23" i="10" s="1"/>
  <c r="G23" i="10" a="1"/>
  <c r="G23" i="10" s="1"/>
  <c r="X17" i="10" a="1"/>
  <c r="X17" i="10" s="1"/>
  <c r="AI17" i="10" s="1" a="1"/>
  <c r="AI17" i="10" s="1"/>
  <c r="W17" i="10" a="1"/>
  <c r="W17" i="10" s="1"/>
  <c r="AH17" i="10" s="1" a="1"/>
  <c r="AH17" i="10" s="1"/>
  <c r="V17" i="10" a="1"/>
  <c r="V17" i="10" s="1"/>
  <c r="AG17" i="10" s="1" a="1"/>
  <c r="AG17" i="10" s="1"/>
  <c r="U17" i="10" a="1"/>
  <c r="U17" i="10" s="1"/>
  <c r="AF17" i="10" s="1" a="1"/>
  <c r="AF17" i="10" s="1"/>
  <c r="T17" i="10" a="1"/>
  <c r="T17" i="10" s="1"/>
  <c r="AE17" i="10" s="1" a="1"/>
  <c r="AE17" i="10" s="1"/>
  <c r="S17" i="10" a="1"/>
  <c r="S17" i="10" s="1"/>
  <c r="AD17" i="10" s="1" a="1"/>
  <c r="AD17" i="10" s="1"/>
  <c r="R17" i="10" a="1"/>
  <c r="R17" i="10" s="1"/>
  <c r="AC17" i="10" s="1" a="1"/>
  <c r="AC17" i="10" s="1"/>
  <c r="Q17" i="10" a="1"/>
  <c r="Q17" i="10" s="1"/>
  <c r="AB17" i="10" s="1" a="1"/>
  <c r="AB17" i="10" s="1"/>
  <c r="P17" i="10" a="1"/>
  <c r="P17" i="10" s="1"/>
  <c r="AA17" i="10" s="1" a="1"/>
  <c r="AA17" i="10" s="1"/>
  <c r="O17" i="10" a="1"/>
  <c r="O17" i="10" s="1"/>
  <c r="N17" i="10" a="1"/>
  <c r="N17" i="10" s="1"/>
  <c r="G17" i="10" a="1"/>
  <c r="G17" i="10" s="1"/>
  <c r="X21" i="10" a="1"/>
  <c r="X21" i="10" s="1"/>
  <c r="AI21" i="10" s="1" a="1"/>
  <c r="AI21" i="10" s="1"/>
  <c r="W21" i="10" a="1"/>
  <c r="W21" i="10" s="1"/>
  <c r="AH21" i="10" s="1" a="1"/>
  <c r="AH21" i="10" s="1"/>
  <c r="V21" i="10" a="1"/>
  <c r="V21" i="10" s="1"/>
  <c r="AG21" i="10" s="1" a="1"/>
  <c r="AG21" i="10" s="1"/>
  <c r="U21" i="10" a="1"/>
  <c r="U21" i="10" s="1"/>
  <c r="AF21" i="10" s="1" a="1"/>
  <c r="AF21" i="10" s="1"/>
  <c r="T21" i="10" a="1"/>
  <c r="T21" i="10" s="1"/>
  <c r="AE21" i="10" s="1" a="1"/>
  <c r="AE21" i="10" s="1"/>
  <c r="S21" i="10" a="1"/>
  <c r="S21" i="10" s="1"/>
  <c r="AD21" i="10" s="1" a="1"/>
  <c r="AD21" i="10" s="1"/>
  <c r="R21" i="10" a="1"/>
  <c r="R21" i="10" s="1"/>
  <c r="AC21" i="10" s="1" a="1"/>
  <c r="AC21" i="10" s="1"/>
  <c r="Q21" i="10" a="1"/>
  <c r="Q21" i="10" s="1"/>
  <c r="AB21" i="10" s="1" a="1"/>
  <c r="AB21" i="10" s="1"/>
  <c r="P21" i="10" a="1"/>
  <c r="P21" i="10" s="1"/>
  <c r="AA21" i="10" s="1" a="1"/>
  <c r="AA21" i="10" s="1"/>
  <c r="O21" i="10" a="1"/>
  <c r="O21" i="10" s="1"/>
  <c r="N21" i="10" a="1"/>
  <c r="N21" i="10" s="1"/>
  <c r="G21" i="10" a="1"/>
  <c r="G21" i="10" s="1"/>
  <c r="N15" i="8" a="1"/>
  <c r="N15" i="8" s="1"/>
  <c r="O15" i="8" a="1"/>
  <c r="O15" i="8" s="1"/>
  <c r="P15" i="8" a="1"/>
  <c r="P15" i="8" s="1"/>
  <c r="AA15" i="8" s="1" a="1"/>
  <c r="AA15" i="8" s="1"/>
  <c r="Q15" i="8" a="1"/>
  <c r="Q15" i="8" s="1"/>
  <c r="AB15" i="8" s="1" a="1"/>
  <c r="AB15" i="8" s="1"/>
  <c r="R15" i="8" a="1"/>
  <c r="R15" i="8" s="1"/>
  <c r="AC15" i="8" s="1" a="1"/>
  <c r="AC15" i="8" s="1"/>
  <c r="S15" i="8" a="1"/>
  <c r="S15" i="8" s="1"/>
  <c r="AD15" i="8" s="1" a="1"/>
  <c r="AD15" i="8" s="1"/>
  <c r="T15" i="8" a="1"/>
  <c r="T15" i="8" s="1"/>
  <c r="AE15" i="8" s="1" a="1"/>
  <c r="AE15" i="8" s="1"/>
  <c r="U15" i="8" a="1"/>
  <c r="U15" i="8" s="1"/>
  <c r="AF15" i="8" s="1" a="1"/>
  <c r="AF15" i="8" s="1"/>
  <c r="V15" i="8" a="1"/>
  <c r="V15" i="8" s="1"/>
  <c r="AG15" i="8" s="1" a="1"/>
  <c r="AG15" i="8" s="1"/>
  <c r="W15" i="8" a="1"/>
  <c r="W15" i="8" s="1"/>
  <c r="AH15" i="8" s="1" a="1"/>
  <c r="AH15" i="8" s="1"/>
  <c r="X15" i="8" a="1"/>
  <c r="X15" i="8" s="1"/>
  <c r="AI15" i="8" s="1" a="1"/>
  <c r="AI15" i="8" s="1"/>
  <c r="G15" i="8" a="1"/>
  <c r="G15" i="8" s="1"/>
  <c r="N25" i="10" l="1" a="1"/>
  <c r="N25" i="10" s="1"/>
  <c r="O25" i="10" a="1"/>
  <c r="O25" i="10" s="1"/>
  <c r="P25" i="10" a="1"/>
  <c r="P25" i="10" s="1"/>
  <c r="Q25" i="10" a="1"/>
  <c r="Q25" i="10" s="1"/>
  <c r="AB25" i="10" s="1" a="1"/>
  <c r="AB25" i="10" s="1"/>
  <c r="R25" i="10" a="1"/>
  <c r="R25" i="10" s="1"/>
  <c r="AC25" i="10" s="1" a="1"/>
  <c r="AC25" i="10" s="1"/>
  <c r="S25" i="10" a="1"/>
  <c r="S25" i="10" s="1"/>
  <c r="AD25" i="10" s="1" a="1"/>
  <c r="AD25" i="10" s="1"/>
  <c r="T25" i="10" a="1"/>
  <c r="T25" i="10" s="1"/>
  <c r="AE25" i="10" s="1" a="1"/>
  <c r="AE25" i="10" s="1"/>
  <c r="U25" i="10" a="1"/>
  <c r="U25" i="10" s="1"/>
  <c r="AF25" i="10" s="1" a="1"/>
  <c r="AF25" i="10" s="1"/>
  <c r="V25" i="10" a="1"/>
  <c r="V25" i="10" s="1"/>
  <c r="AG25" i="10" s="1" a="1"/>
  <c r="AG25" i="10" s="1"/>
  <c r="W25" i="10" a="1"/>
  <c r="W25" i="10" s="1"/>
  <c r="AH25" i="10" s="1" a="1"/>
  <c r="AH25" i="10" s="1"/>
  <c r="X25" i="10" a="1"/>
  <c r="X25" i="10" s="1"/>
  <c r="AI25" i="10" s="1" a="1"/>
  <c r="AI25" i="10" s="1"/>
  <c r="N26" i="10" a="1"/>
  <c r="N26" i="10" s="1"/>
  <c r="O26" i="10" a="1"/>
  <c r="O26" i="10" s="1"/>
  <c r="P26" i="10" a="1"/>
  <c r="P26" i="10" s="1"/>
  <c r="Q26" i="10" a="1"/>
  <c r="Q26" i="10" s="1"/>
  <c r="AB26" i="10" s="1" a="1"/>
  <c r="AB26" i="10" s="1"/>
  <c r="R26" i="10" a="1"/>
  <c r="R26" i="10" s="1"/>
  <c r="AC26" i="10" s="1" a="1"/>
  <c r="AC26" i="10" s="1"/>
  <c r="S26" i="10" a="1"/>
  <c r="S26" i="10" s="1"/>
  <c r="AD26" i="10" s="1" a="1"/>
  <c r="AD26" i="10" s="1"/>
  <c r="T26" i="10" a="1"/>
  <c r="T26" i="10" s="1"/>
  <c r="AE26" i="10" s="1" a="1"/>
  <c r="AE26" i="10" s="1"/>
  <c r="U26" i="10" a="1"/>
  <c r="U26" i="10" s="1"/>
  <c r="AF26" i="10" s="1" a="1"/>
  <c r="AF26" i="10" s="1"/>
  <c r="V26" i="10" a="1"/>
  <c r="V26" i="10" s="1"/>
  <c r="AG26" i="10" s="1" a="1"/>
  <c r="AG26" i="10" s="1"/>
  <c r="W26" i="10" a="1"/>
  <c r="W26" i="10" s="1"/>
  <c r="AH26" i="10" s="1" a="1"/>
  <c r="AH26" i="10" s="1"/>
  <c r="X26" i="10" a="1"/>
  <c r="X26" i="10" s="1"/>
  <c r="AI26" i="10" s="1" a="1"/>
  <c r="AI26" i="10" s="1"/>
  <c r="G26" i="10" a="1"/>
  <c r="G26" i="10" s="1"/>
  <c r="N13" i="10" a="1"/>
  <c r="N13" i="10" s="1"/>
  <c r="N14" i="10" a="1"/>
  <c r="N14" i="10" s="1"/>
  <c r="N15" i="10" a="1"/>
  <c r="N15" i="10" s="1"/>
  <c r="N16" i="10" a="1"/>
  <c r="N16" i="10" s="1"/>
  <c r="N18" i="10" a="1"/>
  <c r="N18" i="10" s="1"/>
  <c r="N19" i="10" a="1"/>
  <c r="N19" i="10" s="1"/>
  <c r="N20" i="10" a="1"/>
  <c r="N20" i="10" s="1"/>
  <c r="N22" i="10" a="1"/>
  <c r="N22" i="10" s="1"/>
  <c r="N24" i="10" a="1"/>
  <c r="N24" i="10" s="1"/>
  <c r="X65" i="1" l="1" a="1"/>
  <c r="X65" i="1" s="1"/>
  <c r="AI65" i="1" s="1" a="1"/>
  <c r="AI65" i="1" s="1"/>
  <c r="W65" i="1" a="1"/>
  <c r="W65" i="1" s="1"/>
  <c r="AH65" i="1" s="1" a="1"/>
  <c r="AH65" i="1" s="1"/>
  <c r="V65" i="1" a="1"/>
  <c r="V65" i="1" s="1"/>
  <c r="AG65" i="1" s="1" a="1"/>
  <c r="AG65" i="1" s="1"/>
  <c r="U65" i="1" a="1"/>
  <c r="U65" i="1" s="1"/>
  <c r="AF65" i="1" s="1" a="1"/>
  <c r="AF65" i="1" s="1"/>
  <c r="T65" i="1" a="1"/>
  <c r="T65" i="1" s="1"/>
  <c r="AE65" i="1" s="1" a="1"/>
  <c r="AE65" i="1" s="1"/>
  <c r="S65" i="1" a="1"/>
  <c r="S65" i="1" s="1"/>
  <c r="AD65" i="1" s="1" a="1"/>
  <c r="AD65" i="1" s="1"/>
  <c r="R65" i="1" a="1"/>
  <c r="R65" i="1" s="1"/>
  <c r="AC65" i="1" s="1" a="1"/>
  <c r="AC65" i="1" s="1"/>
  <c r="Q65" i="1" a="1"/>
  <c r="Q65" i="1" s="1"/>
  <c r="AB65" i="1" s="1" a="1"/>
  <c r="AB65" i="1" s="1"/>
  <c r="X64" i="1" a="1"/>
  <c r="X64" i="1" s="1"/>
  <c r="AI64" i="1" s="1" a="1"/>
  <c r="AI64" i="1" s="1"/>
  <c r="W64" i="1" a="1"/>
  <c r="W64" i="1" s="1"/>
  <c r="AH64" i="1" s="1" a="1"/>
  <c r="AH64" i="1" s="1"/>
  <c r="V64" i="1" a="1"/>
  <c r="V64" i="1" s="1"/>
  <c r="AG64" i="1" s="1" a="1"/>
  <c r="AG64" i="1" s="1"/>
  <c r="U64" i="1" a="1"/>
  <c r="U64" i="1" s="1"/>
  <c r="AF64" i="1" s="1" a="1"/>
  <c r="AF64" i="1" s="1"/>
  <c r="T64" i="1" a="1"/>
  <c r="T64" i="1" s="1"/>
  <c r="AE64" i="1" s="1" a="1"/>
  <c r="AE64" i="1" s="1"/>
  <c r="S64" i="1" a="1"/>
  <c r="S64" i="1" s="1"/>
  <c r="AD64" i="1" s="1" a="1"/>
  <c r="AD64" i="1" s="1"/>
  <c r="R64" i="1" a="1"/>
  <c r="R64" i="1" s="1"/>
  <c r="AC64" i="1" s="1" a="1"/>
  <c r="AC64" i="1" s="1"/>
  <c r="Q64" i="1" a="1"/>
  <c r="Q64" i="1" s="1"/>
  <c r="AB64" i="1" s="1" a="1"/>
  <c r="AB64" i="1" s="1"/>
  <c r="X63" i="1" a="1"/>
  <c r="X63" i="1" s="1"/>
  <c r="AI63" i="1" s="1" a="1"/>
  <c r="AI63" i="1" s="1"/>
  <c r="W63" i="1" a="1"/>
  <c r="W63" i="1" s="1"/>
  <c r="AH63" i="1" s="1" a="1"/>
  <c r="AH63" i="1" s="1"/>
  <c r="V63" i="1" a="1"/>
  <c r="V63" i="1" s="1"/>
  <c r="AG63" i="1" s="1" a="1"/>
  <c r="AG63" i="1" s="1"/>
  <c r="U63" i="1" a="1"/>
  <c r="U63" i="1" s="1"/>
  <c r="AF63" i="1" s="1" a="1"/>
  <c r="AF63" i="1" s="1"/>
  <c r="T63" i="1" a="1"/>
  <c r="T63" i="1" s="1"/>
  <c r="AE63" i="1" s="1" a="1"/>
  <c r="AE63" i="1" s="1"/>
  <c r="S63" i="1" a="1"/>
  <c r="S63" i="1" s="1"/>
  <c r="AD63" i="1" s="1" a="1"/>
  <c r="AD63" i="1" s="1"/>
  <c r="R63" i="1" a="1"/>
  <c r="R63" i="1" s="1"/>
  <c r="AC63" i="1" s="1" a="1"/>
  <c r="AC63" i="1" s="1"/>
  <c r="Q63" i="1" a="1"/>
  <c r="Q63" i="1" s="1"/>
  <c r="AB63" i="1" s="1" a="1"/>
  <c r="AB63" i="1" s="1"/>
  <c r="X62" i="1" a="1"/>
  <c r="X62" i="1" s="1"/>
  <c r="AI62" i="1" s="1" a="1"/>
  <c r="AI62" i="1" s="1"/>
  <c r="W62" i="1" a="1"/>
  <c r="W62" i="1" s="1"/>
  <c r="AH62" i="1" s="1" a="1"/>
  <c r="AH62" i="1" s="1"/>
  <c r="V62" i="1" a="1"/>
  <c r="V62" i="1" s="1"/>
  <c r="AG62" i="1" s="1" a="1"/>
  <c r="AG62" i="1" s="1"/>
  <c r="U62" i="1" a="1"/>
  <c r="U62" i="1" s="1"/>
  <c r="AF62" i="1" s="1" a="1"/>
  <c r="AF62" i="1" s="1"/>
  <c r="T62" i="1" a="1"/>
  <c r="T62" i="1" s="1"/>
  <c r="AE62" i="1" s="1" a="1"/>
  <c r="AE62" i="1" s="1"/>
  <c r="S62" i="1" a="1"/>
  <c r="S62" i="1" s="1"/>
  <c r="AD62" i="1" s="1" a="1"/>
  <c r="AD62" i="1" s="1"/>
  <c r="R62" i="1" a="1"/>
  <c r="R62" i="1" s="1"/>
  <c r="AC62" i="1" s="1" a="1"/>
  <c r="AC62" i="1" s="1"/>
  <c r="Q62" i="1" a="1"/>
  <c r="Q62" i="1" s="1"/>
  <c r="AB62" i="1" s="1" a="1"/>
  <c r="AB62" i="1" s="1"/>
  <c r="X61" i="1" a="1"/>
  <c r="X61" i="1" s="1"/>
  <c r="AI61" i="1" s="1" a="1"/>
  <c r="AI61" i="1" s="1"/>
  <c r="W61" i="1" a="1"/>
  <c r="W61" i="1" s="1"/>
  <c r="AH61" i="1" s="1" a="1"/>
  <c r="AH61" i="1" s="1"/>
  <c r="V61" i="1" a="1"/>
  <c r="V61" i="1" s="1"/>
  <c r="AG61" i="1" s="1" a="1"/>
  <c r="AG61" i="1" s="1"/>
  <c r="U61" i="1" a="1"/>
  <c r="U61" i="1" s="1"/>
  <c r="AF61" i="1" s="1" a="1"/>
  <c r="AF61" i="1" s="1"/>
  <c r="T61" i="1" a="1"/>
  <c r="T61" i="1" s="1"/>
  <c r="AE61" i="1" s="1" a="1"/>
  <c r="AE61" i="1" s="1"/>
  <c r="S61" i="1" a="1"/>
  <c r="S61" i="1" s="1"/>
  <c r="AD61" i="1" s="1" a="1"/>
  <c r="AD61" i="1" s="1"/>
  <c r="R61" i="1" a="1"/>
  <c r="R61" i="1" s="1"/>
  <c r="AC61" i="1" s="1" a="1"/>
  <c r="AC61" i="1" s="1"/>
  <c r="Q61" i="1" a="1"/>
  <c r="Q61" i="1" s="1"/>
  <c r="AB61" i="1" s="1" a="1"/>
  <c r="AB61" i="1" s="1"/>
  <c r="X60" i="1" a="1"/>
  <c r="X60" i="1" s="1"/>
  <c r="AI60" i="1" s="1" a="1"/>
  <c r="AI60" i="1" s="1"/>
  <c r="W60" i="1" a="1"/>
  <c r="W60" i="1" s="1"/>
  <c r="AH60" i="1" s="1" a="1"/>
  <c r="AH60" i="1" s="1"/>
  <c r="V60" i="1" a="1"/>
  <c r="V60" i="1" s="1"/>
  <c r="AG60" i="1" s="1" a="1"/>
  <c r="AG60" i="1" s="1"/>
  <c r="U60" i="1" a="1"/>
  <c r="U60" i="1" s="1"/>
  <c r="AF60" i="1" s="1" a="1"/>
  <c r="AF60" i="1" s="1"/>
  <c r="T60" i="1" a="1"/>
  <c r="T60" i="1" s="1"/>
  <c r="AE60" i="1" s="1" a="1"/>
  <c r="AE60" i="1" s="1"/>
  <c r="S60" i="1" a="1"/>
  <c r="S60" i="1" s="1"/>
  <c r="AD60" i="1" s="1" a="1"/>
  <c r="AD60" i="1" s="1"/>
  <c r="R60" i="1" a="1"/>
  <c r="R60" i="1" s="1"/>
  <c r="AC60" i="1" s="1" a="1"/>
  <c r="AC60" i="1" s="1"/>
  <c r="Q60" i="1" a="1"/>
  <c r="Q60" i="1" s="1"/>
  <c r="AB60" i="1" s="1" a="1"/>
  <c r="AB60" i="1" s="1"/>
  <c r="X59" i="1" a="1"/>
  <c r="X59" i="1" s="1"/>
  <c r="AI59" i="1" s="1" a="1"/>
  <c r="AI59" i="1" s="1"/>
  <c r="W59" i="1" a="1"/>
  <c r="W59" i="1" s="1"/>
  <c r="AH59" i="1" s="1" a="1"/>
  <c r="AH59" i="1" s="1"/>
  <c r="V59" i="1" a="1"/>
  <c r="V59" i="1" s="1"/>
  <c r="AG59" i="1" s="1" a="1"/>
  <c r="AG59" i="1" s="1"/>
  <c r="U59" i="1" a="1"/>
  <c r="U59" i="1" s="1"/>
  <c r="AF59" i="1" s="1" a="1"/>
  <c r="AF59" i="1" s="1"/>
  <c r="T59" i="1" a="1"/>
  <c r="T59" i="1" s="1"/>
  <c r="AE59" i="1" s="1" a="1"/>
  <c r="AE59" i="1" s="1"/>
  <c r="S59" i="1" a="1"/>
  <c r="S59" i="1" s="1"/>
  <c r="AD59" i="1" s="1" a="1"/>
  <c r="AD59" i="1" s="1"/>
  <c r="R59" i="1" a="1"/>
  <c r="R59" i="1" s="1"/>
  <c r="AC59" i="1" s="1" a="1"/>
  <c r="AC59" i="1" s="1"/>
  <c r="Q59" i="1" a="1"/>
  <c r="Q59" i="1" s="1"/>
  <c r="AB59" i="1" s="1" a="1"/>
  <c r="AB59" i="1" s="1"/>
  <c r="X58" i="1" a="1"/>
  <c r="X58" i="1" s="1"/>
  <c r="AI58" i="1" s="1" a="1"/>
  <c r="AI58" i="1" s="1"/>
  <c r="W58" i="1" a="1"/>
  <c r="W58" i="1" s="1"/>
  <c r="AH58" i="1" s="1" a="1"/>
  <c r="AH58" i="1" s="1"/>
  <c r="V58" i="1" a="1"/>
  <c r="V58" i="1" s="1"/>
  <c r="AG58" i="1" s="1" a="1"/>
  <c r="AG58" i="1" s="1"/>
  <c r="U58" i="1" a="1"/>
  <c r="U58" i="1" s="1"/>
  <c r="AF58" i="1" s="1" a="1"/>
  <c r="AF58" i="1" s="1"/>
  <c r="T58" i="1" a="1"/>
  <c r="T58" i="1" s="1"/>
  <c r="AE58" i="1" s="1" a="1"/>
  <c r="AE58" i="1" s="1"/>
  <c r="S58" i="1" a="1"/>
  <c r="S58" i="1" s="1"/>
  <c r="AD58" i="1" s="1" a="1"/>
  <c r="AD58" i="1" s="1"/>
  <c r="R58" i="1" a="1"/>
  <c r="R58" i="1" s="1"/>
  <c r="AC58" i="1" s="1" a="1"/>
  <c r="AC58" i="1" s="1"/>
  <c r="Q58" i="1" a="1"/>
  <c r="Q58" i="1" s="1"/>
  <c r="AB58" i="1" s="1" a="1"/>
  <c r="AB58" i="1" s="1"/>
  <c r="X57" i="1" a="1"/>
  <c r="X57" i="1" s="1"/>
  <c r="AI57" i="1" s="1" a="1"/>
  <c r="AI57" i="1" s="1"/>
  <c r="W57" i="1" a="1"/>
  <c r="W57" i="1" s="1"/>
  <c r="AH57" i="1" s="1" a="1"/>
  <c r="AH57" i="1" s="1"/>
  <c r="V57" i="1" a="1"/>
  <c r="V57" i="1" s="1"/>
  <c r="AG57" i="1" s="1" a="1"/>
  <c r="AG57" i="1" s="1"/>
  <c r="U57" i="1" a="1"/>
  <c r="U57" i="1" s="1"/>
  <c r="AF57" i="1" s="1" a="1"/>
  <c r="AF57" i="1" s="1"/>
  <c r="T57" i="1" a="1"/>
  <c r="T57" i="1" s="1"/>
  <c r="AE57" i="1" s="1" a="1"/>
  <c r="AE57" i="1" s="1"/>
  <c r="S57" i="1" a="1"/>
  <c r="S57" i="1" s="1"/>
  <c r="AD57" i="1" s="1" a="1"/>
  <c r="AD57" i="1" s="1"/>
  <c r="R57" i="1" a="1"/>
  <c r="R57" i="1" s="1"/>
  <c r="AC57" i="1" s="1" a="1"/>
  <c r="AC57" i="1" s="1"/>
  <c r="Q57" i="1" a="1"/>
  <c r="Q57" i="1" s="1"/>
  <c r="AB57" i="1" s="1" a="1"/>
  <c r="AB57" i="1" s="1"/>
  <c r="X56" i="1" a="1"/>
  <c r="X56" i="1" s="1"/>
  <c r="AI56" i="1" s="1" a="1"/>
  <c r="AI56" i="1" s="1"/>
  <c r="W56" i="1" a="1"/>
  <c r="W56" i="1" s="1"/>
  <c r="AH56" i="1" s="1" a="1"/>
  <c r="AH56" i="1" s="1"/>
  <c r="V56" i="1" a="1"/>
  <c r="V56" i="1" s="1"/>
  <c r="AG56" i="1" s="1" a="1"/>
  <c r="AG56" i="1" s="1"/>
  <c r="U56" i="1" a="1"/>
  <c r="U56" i="1" s="1"/>
  <c r="AF56" i="1" s="1" a="1"/>
  <c r="AF56" i="1" s="1"/>
  <c r="T56" i="1" a="1"/>
  <c r="T56" i="1" s="1"/>
  <c r="AE56" i="1" s="1" a="1"/>
  <c r="AE56" i="1" s="1"/>
  <c r="S56" i="1" a="1"/>
  <c r="S56" i="1" s="1"/>
  <c r="AD56" i="1" s="1" a="1"/>
  <c r="AD56" i="1" s="1"/>
  <c r="R56" i="1" a="1"/>
  <c r="R56" i="1" s="1"/>
  <c r="AC56" i="1" s="1" a="1"/>
  <c r="AC56" i="1" s="1"/>
  <c r="Q56" i="1" a="1"/>
  <c r="Q56" i="1" s="1"/>
  <c r="AB56" i="1" s="1" a="1"/>
  <c r="AB56" i="1" s="1"/>
  <c r="X55" i="1" a="1"/>
  <c r="X55" i="1" s="1"/>
  <c r="AI55" i="1" s="1" a="1"/>
  <c r="AI55" i="1" s="1"/>
  <c r="W55" i="1" a="1"/>
  <c r="W55" i="1" s="1"/>
  <c r="AH55" i="1" s="1" a="1"/>
  <c r="AH55" i="1" s="1"/>
  <c r="V55" i="1" a="1"/>
  <c r="V55" i="1" s="1"/>
  <c r="AG55" i="1" s="1" a="1"/>
  <c r="AG55" i="1" s="1"/>
  <c r="U55" i="1" a="1"/>
  <c r="U55" i="1" s="1"/>
  <c r="AF55" i="1" s="1" a="1"/>
  <c r="AF55" i="1" s="1"/>
  <c r="T55" i="1" a="1"/>
  <c r="T55" i="1" s="1"/>
  <c r="AE55" i="1" s="1" a="1"/>
  <c r="AE55" i="1" s="1"/>
  <c r="S55" i="1" a="1"/>
  <c r="S55" i="1" s="1"/>
  <c r="AD55" i="1" s="1" a="1"/>
  <c r="AD55" i="1" s="1"/>
  <c r="R55" i="1" a="1"/>
  <c r="R55" i="1" s="1"/>
  <c r="AC55" i="1" s="1" a="1"/>
  <c r="AC55" i="1" s="1"/>
  <c r="Q55" i="1" a="1"/>
  <c r="Q55" i="1" s="1"/>
  <c r="AB55" i="1" s="1" a="1"/>
  <c r="AB55" i="1" s="1"/>
  <c r="X54" i="1" a="1"/>
  <c r="X54" i="1" s="1"/>
  <c r="AI54" i="1" s="1" a="1"/>
  <c r="AI54" i="1" s="1"/>
  <c r="W54" i="1" a="1"/>
  <c r="W54" i="1" s="1"/>
  <c r="AH54" i="1" s="1" a="1"/>
  <c r="AH54" i="1" s="1"/>
  <c r="V54" i="1" a="1"/>
  <c r="V54" i="1" s="1"/>
  <c r="AG54" i="1" s="1" a="1"/>
  <c r="AG54" i="1" s="1"/>
  <c r="U54" i="1" a="1"/>
  <c r="U54" i="1" s="1"/>
  <c r="AF54" i="1" s="1" a="1"/>
  <c r="AF54" i="1" s="1"/>
  <c r="T54" i="1" a="1"/>
  <c r="T54" i="1" s="1"/>
  <c r="AE54" i="1" s="1" a="1"/>
  <c r="AE54" i="1" s="1"/>
  <c r="S54" i="1" a="1"/>
  <c r="S54" i="1" s="1"/>
  <c r="AD54" i="1" s="1" a="1"/>
  <c r="AD54" i="1" s="1"/>
  <c r="R54" i="1" a="1"/>
  <c r="R54" i="1" s="1"/>
  <c r="AC54" i="1" s="1" a="1"/>
  <c r="AC54" i="1" s="1"/>
  <c r="Q54" i="1" a="1"/>
  <c r="Q54" i="1" s="1"/>
  <c r="AB54" i="1" s="1" a="1"/>
  <c r="AB54" i="1" s="1"/>
  <c r="X53" i="1" a="1"/>
  <c r="X53" i="1" s="1"/>
  <c r="AI53" i="1" s="1" a="1"/>
  <c r="AI53" i="1" s="1"/>
  <c r="W53" i="1" a="1"/>
  <c r="W53" i="1" s="1"/>
  <c r="AH53" i="1" s="1" a="1"/>
  <c r="AH53" i="1" s="1"/>
  <c r="V53" i="1" a="1"/>
  <c r="V53" i="1" s="1"/>
  <c r="AG53" i="1" s="1" a="1"/>
  <c r="AG53" i="1" s="1"/>
  <c r="U53" i="1" a="1"/>
  <c r="U53" i="1" s="1"/>
  <c r="AF53" i="1" s="1" a="1"/>
  <c r="AF53" i="1" s="1"/>
  <c r="T53" i="1" a="1"/>
  <c r="T53" i="1" s="1"/>
  <c r="AE53" i="1" s="1" a="1"/>
  <c r="AE53" i="1" s="1"/>
  <c r="S53" i="1" a="1"/>
  <c r="S53" i="1" s="1"/>
  <c r="AD53" i="1" s="1" a="1"/>
  <c r="AD53" i="1" s="1"/>
  <c r="R53" i="1" a="1"/>
  <c r="R53" i="1" s="1"/>
  <c r="AC53" i="1" s="1" a="1"/>
  <c r="AC53" i="1" s="1"/>
  <c r="Q53" i="1" a="1"/>
  <c r="Q53" i="1" s="1"/>
  <c r="AB53" i="1" s="1" a="1"/>
  <c r="AB53" i="1" s="1"/>
  <c r="X52" i="1" a="1"/>
  <c r="X52" i="1" s="1"/>
  <c r="AI52" i="1" s="1" a="1"/>
  <c r="AI52" i="1" s="1"/>
  <c r="W52" i="1" a="1"/>
  <c r="W52" i="1" s="1"/>
  <c r="AH52" i="1" s="1" a="1"/>
  <c r="AH52" i="1" s="1"/>
  <c r="V52" i="1" a="1"/>
  <c r="V52" i="1" s="1"/>
  <c r="AG52" i="1" s="1" a="1"/>
  <c r="AG52" i="1" s="1"/>
  <c r="U52" i="1" a="1"/>
  <c r="U52" i="1" s="1"/>
  <c r="AF52" i="1" s="1" a="1"/>
  <c r="AF52" i="1" s="1"/>
  <c r="T52" i="1" a="1"/>
  <c r="T52" i="1" s="1"/>
  <c r="AE52" i="1" s="1" a="1"/>
  <c r="AE52" i="1" s="1"/>
  <c r="S52" i="1" a="1"/>
  <c r="S52" i="1" s="1"/>
  <c r="AD52" i="1" s="1" a="1"/>
  <c r="AD52" i="1" s="1"/>
  <c r="R52" i="1" a="1"/>
  <c r="R52" i="1" s="1"/>
  <c r="AC52" i="1" s="1" a="1"/>
  <c r="AC52" i="1" s="1"/>
  <c r="Q52" i="1" a="1"/>
  <c r="Q52" i="1" s="1"/>
  <c r="AB52" i="1" s="1" a="1"/>
  <c r="AB52" i="1" s="1"/>
  <c r="X51" i="1" a="1"/>
  <c r="X51" i="1" s="1"/>
  <c r="AI51" i="1" s="1" a="1"/>
  <c r="AI51" i="1" s="1"/>
  <c r="W51" i="1" a="1"/>
  <c r="W51" i="1" s="1"/>
  <c r="AH51" i="1" s="1" a="1"/>
  <c r="AH51" i="1" s="1"/>
  <c r="V51" i="1" a="1"/>
  <c r="V51" i="1" s="1"/>
  <c r="AG51" i="1" s="1" a="1"/>
  <c r="AG51" i="1" s="1"/>
  <c r="U51" i="1" a="1"/>
  <c r="U51" i="1" s="1"/>
  <c r="AF51" i="1" s="1" a="1"/>
  <c r="AF51" i="1" s="1"/>
  <c r="T51" i="1" a="1"/>
  <c r="T51" i="1" s="1"/>
  <c r="AE51" i="1" s="1" a="1"/>
  <c r="AE51" i="1" s="1"/>
  <c r="S51" i="1" a="1"/>
  <c r="S51" i="1" s="1"/>
  <c r="AD51" i="1" s="1" a="1"/>
  <c r="AD51" i="1" s="1"/>
  <c r="R51" i="1" a="1"/>
  <c r="R51" i="1" s="1"/>
  <c r="AC51" i="1" s="1" a="1"/>
  <c r="AC51" i="1" s="1"/>
  <c r="Q51" i="1" a="1"/>
  <c r="Q51" i="1" s="1"/>
  <c r="AB51" i="1" s="1" a="1"/>
  <c r="AB51" i="1" s="1"/>
  <c r="X50" i="1" a="1"/>
  <c r="X50" i="1" s="1"/>
  <c r="AI50" i="1" s="1" a="1"/>
  <c r="AI50" i="1" s="1"/>
  <c r="W50" i="1" a="1"/>
  <c r="W50" i="1" s="1"/>
  <c r="AH50" i="1" s="1" a="1"/>
  <c r="AH50" i="1" s="1"/>
  <c r="V50" i="1" a="1"/>
  <c r="V50" i="1" s="1"/>
  <c r="AG50" i="1" s="1" a="1"/>
  <c r="AG50" i="1" s="1"/>
  <c r="U50" i="1" a="1"/>
  <c r="U50" i="1" s="1"/>
  <c r="AF50" i="1" s="1" a="1"/>
  <c r="AF50" i="1" s="1"/>
  <c r="T50" i="1" a="1"/>
  <c r="T50" i="1" s="1"/>
  <c r="AE50" i="1" s="1" a="1"/>
  <c r="AE50" i="1" s="1"/>
  <c r="S50" i="1" a="1"/>
  <c r="S50" i="1" s="1"/>
  <c r="AD50" i="1" s="1" a="1"/>
  <c r="AD50" i="1" s="1"/>
  <c r="R50" i="1" a="1"/>
  <c r="R50" i="1" s="1"/>
  <c r="AC50" i="1" s="1" a="1"/>
  <c r="AC50" i="1" s="1"/>
  <c r="Q50" i="1" a="1"/>
  <c r="Q50" i="1" s="1"/>
  <c r="AB50" i="1" s="1" a="1"/>
  <c r="AB50" i="1" s="1"/>
  <c r="X49" i="1" a="1"/>
  <c r="X49" i="1" s="1"/>
  <c r="AI49" i="1" s="1" a="1"/>
  <c r="AI49" i="1" s="1"/>
  <c r="W49" i="1" a="1"/>
  <c r="W49" i="1" s="1"/>
  <c r="AH49" i="1" s="1" a="1"/>
  <c r="AH49" i="1" s="1"/>
  <c r="V49" i="1" a="1"/>
  <c r="V49" i="1" s="1"/>
  <c r="AG49" i="1" s="1" a="1"/>
  <c r="AG49" i="1" s="1"/>
  <c r="U49" i="1" a="1"/>
  <c r="U49" i="1" s="1"/>
  <c r="AF49" i="1" s="1" a="1"/>
  <c r="AF49" i="1" s="1"/>
  <c r="T49" i="1" a="1"/>
  <c r="T49" i="1" s="1"/>
  <c r="AE49" i="1" s="1" a="1"/>
  <c r="AE49" i="1" s="1"/>
  <c r="S49" i="1" a="1"/>
  <c r="S49" i="1" s="1"/>
  <c r="AD49" i="1" s="1" a="1"/>
  <c r="AD49" i="1" s="1"/>
  <c r="R49" i="1" a="1"/>
  <c r="R49" i="1" s="1"/>
  <c r="AC49" i="1" s="1" a="1"/>
  <c r="AC49" i="1" s="1"/>
  <c r="Q49" i="1" a="1"/>
  <c r="Q49" i="1" s="1"/>
  <c r="AB49" i="1" s="1" a="1"/>
  <c r="AB49" i="1" s="1"/>
  <c r="X48" i="1" a="1"/>
  <c r="X48" i="1" s="1"/>
  <c r="AI48" i="1" s="1" a="1"/>
  <c r="AI48" i="1" s="1"/>
  <c r="W48" i="1" a="1"/>
  <c r="W48" i="1" s="1"/>
  <c r="AH48" i="1" s="1" a="1"/>
  <c r="AH48" i="1" s="1"/>
  <c r="V48" i="1" a="1"/>
  <c r="V48" i="1" s="1"/>
  <c r="AG48" i="1" s="1" a="1"/>
  <c r="AG48" i="1" s="1"/>
  <c r="U48" i="1" a="1"/>
  <c r="U48" i="1" s="1"/>
  <c r="AF48" i="1" s="1" a="1"/>
  <c r="AF48" i="1" s="1"/>
  <c r="T48" i="1" a="1"/>
  <c r="T48" i="1" s="1"/>
  <c r="AE48" i="1" s="1" a="1"/>
  <c r="AE48" i="1" s="1"/>
  <c r="S48" i="1" a="1"/>
  <c r="S48" i="1" s="1"/>
  <c r="AD48" i="1" s="1" a="1"/>
  <c r="AD48" i="1" s="1"/>
  <c r="R48" i="1" a="1"/>
  <c r="R48" i="1" s="1"/>
  <c r="AC48" i="1" s="1" a="1"/>
  <c r="AC48" i="1" s="1"/>
  <c r="Q48" i="1" a="1"/>
  <c r="Q48" i="1" s="1"/>
  <c r="AB48" i="1" s="1" a="1"/>
  <c r="AB48" i="1" s="1"/>
  <c r="X47" i="1" a="1"/>
  <c r="X47" i="1" s="1"/>
  <c r="AI47" i="1" s="1" a="1"/>
  <c r="AI47" i="1" s="1"/>
  <c r="W47" i="1" a="1"/>
  <c r="W47" i="1" s="1"/>
  <c r="AH47" i="1" s="1" a="1"/>
  <c r="AH47" i="1" s="1"/>
  <c r="V47" i="1" a="1"/>
  <c r="V47" i="1" s="1"/>
  <c r="AG47" i="1" s="1" a="1"/>
  <c r="AG47" i="1" s="1"/>
  <c r="U47" i="1" a="1"/>
  <c r="U47" i="1" s="1"/>
  <c r="AF47" i="1" s="1" a="1"/>
  <c r="AF47" i="1" s="1"/>
  <c r="T47" i="1" a="1"/>
  <c r="T47" i="1" s="1"/>
  <c r="AE47" i="1" s="1" a="1"/>
  <c r="AE47" i="1" s="1"/>
  <c r="S47" i="1" a="1"/>
  <c r="S47" i="1" s="1"/>
  <c r="AD47" i="1" s="1" a="1"/>
  <c r="AD47" i="1" s="1"/>
  <c r="R47" i="1" a="1"/>
  <c r="R47" i="1" s="1"/>
  <c r="AC47" i="1" s="1" a="1"/>
  <c r="AC47" i="1" s="1"/>
  <c r="Q47" i="1" a="1"/>
  <c r="Q47" i="1" s="1"/>
  <c r="AB47" i="1" s="1" a="1"/>
  <c r="AB47" i="1" s="1"/>
  <c r="X46" i="1" a="1"/>
  <c r="X46" i="1" s="1"/>
  <c r="AI46" i="1" s="1" a="1"/>
  <c r="AI46" i="1" s="1"/>
  <c r="W46" i="1" a="1"/>
  <c r="W46" i="1" s="1"/>
  <c r="AH46" i="1" s="1" a="1"/>
  <c r="AH46" i="1" s="1"/>
  <c r="V46" i="1" a="1"/>
  <c r="V46" i="1" s="1"/>
  <c r="AG46" i="1" s="1" a="1"/>
  <c r="AG46" i="1" s="1"/>
  <c r="U46" i="1" a="1"/>
  <c r="U46" i="1" s="1"/>
  <c r="AF46" i="1" s="1" a="1"/>
  <c r="AF46" i="1" s="1"/>
  <c r="T46" i="1" a="1"/>
  <c r="T46" i="1" s="1"/>
  <c r="AE46" i="1" s="1" a="1"/>
  <c r="AE46" i="1" s="1"/>
  <c r="S46" i="1" a="1"/>
  <c r="S46" i="1" s="1"/>
  <c r="AD46" i="1" s="1" a="1"/>
  <c r="AD46" i="1" s="1"/>
  <c r="R46" i="1" a="1"/>
  <c r="R46" i="1" s="1"/>
  <c r="AC46" i="1" s="1" a="1"/>
  <c r="AC46" i="1" s="1"/>
  <c r="Q46" i="1" a="1"/>
  <c r="Q46" i="1" s="1"/>
  <c r="AB46" i="1" s="1" a="1"/>
  <c r="AB46" i="1" s="1"/>
  <c r="X45" i="1" a="1"/>
  <c r="X45" i="1" s="1"/>
  <c r="AI45" i="1" s="1" a="1"/>
  <c r="AI45" i="1" s="1"/>
  <c r="W45" i="1" a="1"/>
  <c r="W45" i="1" s="1"/>
  <c r="AH45" i="1" s="1" a="1"/>
  <c r="AH45" i="1" s="1"/>
  <c r="V45" i="1" a="1"/>
  <c r="V45" i="1" s="1"/>
  <c r="AG45" i="1" s="1" a="1"/>
  <c r="AG45" i="1" s="1"/>
  <c r="U45" i="1" a="1"/>
  <c r="U45" i="1" s="1"/>
  <c r="AF45" i="1" s="1" a="1"/>
  <c r="AF45" i="1" s="1"/>
  <c r="T45" i="1" a="1"/>
  <c r="T45" i="1" s="1"/>
  <c r="AE45" i="1" s="1" a="1"/>
  <c r="AE45" i="1" s="1"/>
  <c r="S45" i="1" a="1"/>
  <c r="S45" i="1" s="1"/>
  <c r="AD45" i="1" s="1" a="1"/>
  <c r="AD45" i="1" s="1"/>
  <c r="R45" i="1" a="1"/>
  <c r="R45" i="1" s="1"/>
  <c r="AC45" i="1" s="1" a="1"/>
  <c r="AC45" i="1" s="1"/>
  <c r="Q45" i="1" a="1"/>
  <c r="Q45" i="1" s="1"/>
  <c r="AB45" i="1" s="1" a="1"/>
  <c r="AB45" i="1" s="1"/>
  <c r="X44" i="1" a="1"/>
  <c r="X44" i="1" s="1"/>
  <c r="AI44" i="1" s="1" a="1"/>
  <c r="AI44" i="1" s="1"/>
  <c r="W44" i="1" a="1"/>
  <c r="W44" i="1" s="1"/>
  <c r="AH44" i="1" s="1" a="1"/>
  <c r="AH44" i="1" s="1"/>
  <c r="V44" i="1" a="1"/>
  <c r="V44" i="1" s="1"/>
  <c r="AG44" i="1" s="1" a="1"/>
  <c r="AG44" i="1" s="1"/>
  <c r="U44" i="1" a="1"/>
  <c r="U44" i="1" s="1"/>
  <c r="AF44" i="1" s="1" a="1"/>
  <c r="AF44" i="1" s="1"/>
  <c r="T44" i="1" a="1"/>
  <c r="T44" i="1" s="1"/>
  <c r="AE44" i="1" s="1" a="1"/>
  <c r="AE44" i="1" s="1"/>
  <c r="S44" i="1" a="1"/>
  <c r="S44" i="1" s="1"/>
  <c r="AD44" i="1" s="1" a="1"/>
  <c r="AD44" i="1" s="1"/>
  <c r="R44" i="1" a="1"/>
  <c r="R44" i="1" s="1"/>
  <c r="AC44" i="1" s="1" a="1"/>
  <c r="AC44" i="1" s="1"/>
  <c r="Q44" i="1" a="1"/>
  <c r="Q44" i="1" s="1"/>
  <c r="AB44" i="1" s="1" a="1"/>
  <c r="AB44" i="1" s="1"/>
  <c r="X43" i="1" a="1"/>
  <c r="X43" i="1" s="1"/>
  <c r="AI43" i="1" s="1" a="1"/>
  <c r="AI43" i="1" s="1"/>
  <c r="W43" i="1" a="1"/>
  <c r="W43" i="1" s="1"/>
  <c r="AH43" i="1" s="1" a="1"/>
  <c r="AH43" i="1" s="1"/>
  <c r="V43" i="1" a="1"/>
  <c r="V43" i="1" s="1"/>
  <c r="AG43" i="1" s="1" a="1"/>
  <c r="AG43" i="1" s="1"/>
  <c r="U43" i="1" a="1"/>
  <c r="U43" i="1" s="1"/>
  <c r="AF43" i="1" s="1" a="1"/>
  <c r="AF43" i="1" s="1"/>
  <c r="T43" i="1" a="1"/>
  <c r="T43" i="1" s="1"/>
  <c r="AE43" i="1" s="1" a="1"/>
  <c r="AE43" i="1" s="1"/>
  <c r="S43" i="1" a="1"/>
  <c r="S43" i="1" s="1"/>
  <c r="AD43" i="1" s="1" a="1"/>
  <c r="AD43" i="1" s="1"/>
  <c r="R43" i="1" a="1"/>
  <c r="R43" i="1" s="1"/>
  <c r="AC43" i="1" s="1" a="1"/>
  <c r="AC43" i="1" s="1"/>
  <c r="Q43" i="1" a="1"/>
  <c r="Q43" i="1" s="1"/>
  <c r="AB43" i="1" s="1" a="1"/>
  <c r="AB43" i="1" s="1"/>
  <c r="X42" i="1" a="1"/>
  <c r="X42" i="1" s="1"/>
  <c r="AI42" i="1" s="1" a="1"/>
  <c r="AI42" i="1" s="1"/>
  <c r="W42" i="1" a="1"/>
  <c r="W42" i="1" s="1"/>
  <c r="AH42" i="1" s="1" a="1"/>
  <c r="AH42" i="1" s="1"/>
  <c r="V42" i="1" a="1"/>
  <c r="V42" i="1" s="1"/>
  <c r="AG42" i="1" s="1" a="1"/>
  <c r="AG42" i="1" s="1"/>
  <c r="U42" i="1" a="1"/>
  <c r="U42" i="1" s="1"/>
  <c r="AF42" i="1" s="1" a="1"/>
  <c r="AF42" i="1" s="1"/>
  <c r="T42" i="1" a="1"/>
  <c r="T42" i="1" s="1"/>
  <c r="AE42" i="1" s="1" a="1"/>
  <c r="AE42" i="1" s="1"/>
  <c r="S42" i="1" a="1"/>
  <c r="S42" i="1" s="1"/>
  <c r="AD42" i="1" s="1" a="1"/>
  <c r="AD42" i="1" s="1"/>
  <c r="R42" i="1" a="1"/>
  <c r="R42" i="1" s="1"/>
  <c r="AC42" i="1" s="1" a="1"/>
  <c r="AC42" i="1" s="1"/>
  <c r="Q42" i="1" a="1"/>
  <c r="Q42" i="1" s="1"/>
  <c r="AB42" i="1" s="1" a="1"/>
  <c r="AB42" i="1" s="1"/>
  <c r="X41" i="1" a="1"/>
  <c r="X41" i="1" s="1"/>
  <c r="AI41" i="1" s="1" a="1"/>
  <c r="AI41" i="1" s="1"/>
  <c r="W41" i="1" a="1"/>
  <c r="W41" i="1" s="1"/>
  <c r="AH41" i="1" s="1" a="1"/>
  <c r="AH41" i="1" s="1"/>
  <c r="V41" i="1" a="1"/>
  <c r="V41" i="1" s="1"/>
  <c r="AG41" i="1" s="1" a="1"/>
  <c r="AG41" i="1" s="1"/>
  <c r="U41" i="1" a="1"/>
  <c r="U41" i="1" s="1"/>
  <c r="AF41" i="1" s="1" a="1"/>
  <c r="AF41" i="1" s="1"/>
  <c r="T41" i="1" a="1"/>
  <c r="T41" i="1" s="1"/>
  <c r="AE41" i="1" s="1" a="1"/>
  <c r="AE41" i="1" s="1"/>
  <c r="S41" i="1" a="1"/>
  <c r="S41" i="1" s="1"/>
  <c r="AD41" i="1" s="1" a="1"/>
  <c r="AD41" i="1" s="1"/>
  <c r="R41" i="1" a="1"/>
  <c r="R41" i="1" s="1"/>
  <c r="AC41" i="1" s="1" a="1"/>
  <c r="AC41" i="1" s="1"/>
  <c r="Q41" i="1" a="1"/>
  <c r="Q41" i="1" s="1"/>
  <c r="AB41" i="1" s="1" a="1"/>
  <c r="AB41" i="1" s="1"/>
  <c r="X40" i="1" a="1"/>
  <c r="X40" i="1" s="1"/>
  <c r="AI40" i="1" s="1" a="1"/>
  <c r="AI40" i="1" s="1"/>
  <c r="W40" i="1" a="1"/>
  <c r="W40" i="1" s="1"/>
  <c r="AH40" i="1" s="1" a="1"/>
  <c r="AH40" i="1" s="1"/>
  <c r="V40" i="1" a="1"/>
  <c r="V40" i="1" s="1"/>
  <c r="AG40" i="1" s="1" a="1"/>
  <c r="AG40" i="1" s="1"/>
  <c r="U40" i="1" a="1"/>
  <c r="U40" i="1" s="1"/>
  <c r="AF40" i="1" s="1" a="1"/>
  <c r="AF40" i="1" s="1"/>
  <c r="T40" i="1" a="1"/>
  <c r="T40" i="1" s="1"/>
  <c r="AE40" i="1" s="1" a="1"/>
  <c r="AE40" i="1" s="1"/>
  <c r="S40" i="1" a="1"/>
  <c r="S40" i="1" s="1"/>
  <c r="AD40" i="1" s="1" a="1"/>
  <c r="AD40" i="1" s="1"/>
  <c r="R40" i="1" a="1"/>
  <c r="R40" i="1" s="1"/>
  <c r="AC40" i="1" s="1" a="1"/>
  <c r="AC40" i="1" s="1"/>
  <c r="Q40" i="1" a="1"/>
  <c r="Q40" i="1" s="1"/>
  <c r="AB40" i="1" s="1" a="1"/>
  <c r="AB40" i="1" s="1"/>
  <c r="X39" i="1" a="1"/>
  <c r="X39" i="1" s="1"/>
  <c r="AI39" i="1" s="1" a="1"/>
  <c r="AI39" i="1" s="1"/>
  <c r="W39" i="1" a="1"/>
  <c r="W39" i="1" s="1"/>
  <c r="AH39" i="1" s="1" a="1"/>
  <c r="AH39" i="1" s="1"/>
  <c r="V39" i="1" a="1"/>
  <c r="V39" i="1" s="1"/>
  <c r="AG39" i="1" s="1" a="1"/>
  <c r="AG39" i="1" s="1"/>
  <c r="U39" i="1" a="1"/>
  <c r="U39" i="1" s="1"/>
  <c r="AF39" i="1" s="1" a="1"/>
  <c r="AF39" i="1" s="1"/>
  <c r="T39" i="1" a="1"/>
  <c r="T39" i="1" s="1"/>
  <c r="AE39" i="1" s="1" a="1"/>
  <c r="AE39" i="1" s="1"/>
  <c r="S39" i="1" a="1"/>
  <c r="S39" i="1" s="1"/>
  <c r="AD39" i="1" s="1" a="1"/>
  <c r="AD39" i="1" s="1"/>
  <c r="R39" i="1" a="1"/>
  <c r="R39" i="1" s="1"/>
  <c r="AC39" i="1" s="1" a="1"/>
  <c r="AC39" i="1" s="1"/>
  <c r="Q39" i="1" a="1"/>
  <c r="Q39" i="1" s="1"/>
  <c r="AB39" i="1" s="1" a="1"/>
  <c r="AB39" i="1" s="1"/>
  <c r="X38" i="1" a="1"/>
  <c r="X38" i="1" s="1"/>
  <c r="AI38" i="1" s="1" a="1"/>
  <c r="AI38" i="1" s="1"/>
  <c r="W38" i="1" a="1"/>
  <c r="W38" i="1" s="1"/>
  <c r="AH38" i="1" s="1" a="1"/>
  <c r="AH38" i="1" s="1"/>
  <c r="V38" i="1" a="1"/>
  <c r="V38" i="1" s="1"/>
  <c r="AG38" i="1" s="1" a="1"/>
  <c r="AG38" i="1" s="1"/>
  <c r="U38" i="1" a="1"/>
  <c r="U38" i="1" s="1"/>
  <c r="AF38" i="1" s="1" a="1"/>
  <c r="AF38" i="1" s="1"/>
  <c r="T38" i="1" a="1"/>
  <c r="T38" i="1" s="1"/>
  <c r="AE38" i="1" s="1" a="1"/>
  <c r="AE38" i="1" s="1"/>
  <c r="S38" i="1" a="1"/>
  <c r="S38" i="1" s="1"/>
  <c r="AD38" i="1" s="1" a="1"/>
  <c r="AD38" i="1" s="1"/>
  <c r="R38" i="1" a="1"/>
  <c r="R38" i="1" s="1"/>
  <c r="AC38" i="1" s="1" a="1"/>
  <c r="AC38" i="1" s="1"/>
  <c r="Q38" i="1" a="1"/>
  <c r="Q38" i="1" s="1"/>
  <c r="AB38" i="1" s="1" a="1"/>
  <c r="AB38" i="1" s="1"/>
  <c r="X37" i="1" a="1"/>
  <c r="X37" i="1" s="1"/>
  <c r="AI37" i="1" s="1" a="1"/>
  <c r="AI37" i="1" s="1"/>
  <c r="W37" i="1" a="1"/>
  <c r="W37" i="1" s="1"/>
  <c r="AH37" i="1" s="1" a="1"/>
  <c r="AH37" i="1" s="1"/>
  <c r="V37" i="1" a="1"/>
  <c r="V37" i="1" s="1"/>
  <c r="AG37" i="1" s="1" a="1"/>
  <c r="AG37" i="1" s="1"/>
  <c r="U37" i="1" a="1"/>
  <c r="U37" i="1" s="1"/>
  <c r="AF37" i="1" s="1" a="1"/>
  <c r="AF37" i="1" s="1"/>
  <c r="T37" i="1" a="1"/>
  <c r="T37" i="1" s="1"/>
  <c r="AE37" i="1" s="1" a="1"/>
  <c r="AE37" i="1" s="1"/>
  <c r="S37" i="1" a="1"/>
  <c r="S37" i="1" s="1"/>
  <c r="AD37" i="1" s="1" a="1"/>
  <c r="AD37" i="1" s="1"/>
  <c r="R37" i="1" a="1"/>
  <c r="R37" i="1" s="1"/>
  <c r="AC37" i="1" s="1" a="1"/>
  <c r="AC37" i="1" s="1"/>
  <c r="Q37" i="1" a="1"/>
  <c r="Q37" i="1" s="1"/>
  <c r="AB37" i="1" s="1" a="1"/>
  <c r="AB37" i="1" s="1"/>
  <c r="X36" i="1" a="1"/>
  <c r="X36" i="1" s="1"/>
  <c r="AI36" i="1" s="1" a="1"/>
  <c r="AI36" i="1" s="1"/>
  <c r="W36" i="1" a="1"/>
  <c r="W36" i="1" s="1"/>
  <c r="AH36" i="1" s="1" a="1"/>
  <c r="AH36" i="1" s="1"/>
  <c r="V36" i="1" a="1"/>
  <c r="V36" i="1" s="1"/>
  <c r="AG36" i="1" s="1" a="1"/>
  <c r="AG36" i="1" s="1"/>
  <c r="U36" i="1" a="1"/>
  <c r="U36" i="1" s="1"/>
  <c r="AF36" i="1" s="1" a="1"/>
  <c r="AF36" i="1" s="1"/>
  <c r="T36" i="1" a="1"/>
  <c r="T36" i="1" s="1"/>
  <c r="AE36" i="1" s="1" a="1"/>
  <c r="AE36" i="1" s="1"/>
  <c r="S36" i="1" a="1"/>
  <c r="S36" i="1" s="1"/>
  <c r="AD36" i="1" s="1" a="1"/>
  <c r="AD36" i="1" s="1"/>
  <c r="R36" i="1" a="1"/>
  <c r="R36" i="1" s="1"/>
  <c r="AC36" i="1" s="1" a="1"/>
  <c r="AC36" i="1" s="1"/>
  <c r="Q36" i="1" a="1"/>
  <c r="Q36" i="1" s="1"/>
  <c r="AB36" i="1" s="1" a="1"/>
  <c r="AB36" i="1" s="1"/>
  <c r="X35" i="1" a="1"/>
  <c r="X35" i="1" s="1"/>
  <c r="AI35" i="1" s="1" a="1"/>
  <c r="AI35" i="1" s="1"/>
  <c r="W35" i="1" a="1"/>
  <c r="W35" i="1" s="1"/>
  <c r="AH35" i="1" s="1" a="1"/>
  <c r="AH35" i="1" s="1"/>
  <c r="V35" i="1" a="1"/>
  <c r="V35" i="1" s="1"/>
  <c r="AG35" i="1" s="1" a="1"/>
  <c r="AG35" i="1" s="1"/>
  <c r="U35" i="1" a="1"/>
  <c r="U35" i="1" s="1"/>
  <c r="AF35" i="1" s="1" a="1"/>
  <c r="AF35" i="1" s="1"/>
  <c r="T35" i="1" a="1"/>
  <c r="T35" i="1" s="1"/>
  <c r="AE35" i="1" s="1" a="1"/>
  <c r="AE35" i="1" s="1"/>
  <c r="S35" i="1" a="1"/>
  <c r="S35" i="1" s="1"/>
  <c r="AD35" i="1" s="1" a="1"/>
  <c r="AD35" i="1" s="1"/>
  <c r="R35" i="1" a="1"/>
  <c r="R35" i="1" s="1"/>
  <c r="AC35" i="1" s="1" a="1"/>
  <c r="AC35" i="1" s="1"/>
  <c r="Q35" i="1" a="1"/>
  <c r="Q35" i="1" s="1"/>
  <c r="AB35" i="1" s="1" a="1"/>
  <c r="AB35" i="1" s="1"/>
  <c r="X34" i="1" a="1"/>
  <c r="X34" i="1" s="1"/>
  <c r="AI34" i="1" s="1" a="1"/>
  <c r="AI34" i="1" s="1"/>
  <c r="W34" i="1" a="1"/>
  <c r="W34" i="1" s="1"/>
  <c r="AH34" i="1" s="1" a="1"/>
  <c r="AH34" i="1" s="1"/>
  <c r="V34" i="1" a="1"/>
  <c r="V34" i="1" s="1"/>
  <c r="AG34" i="1" s="1" a="1"/>
  <c r="AG34" i="1" s="1"/>
  <c r="U34" i="1" a="1"/>
  <c r="U34" i="1" s="1"/>
  <c r="AF34" i="1" s="1" a="1"/>
  <c r="AF34" i="1" s="1"/>
  <c r="T34" i="1" a="1"/>
  <c r="T34" i="1" s="1"/>
  <c r="AE34" i="1" s="1" a="1"/>
  <c r="AE34" i="1" s="1"/>
  <c r="S34" i="1" a="1"/>
  <c r="S34" i="1" s="1"/>
  <c r="AD34" i="1" s="1" a="1"/>
  <c r="AD34" i="1" s="1"/>
  <c r="R34" i="1" a="1"/>
  <c r="R34" i="1" s="1"/>
  <c r="AC34" i="1" s="1" a="1"/>
  <c r="AC34" i="1" s="1"/>
  <c r="Q34" i="1" a="1"/>
  <c r="Q34" i="1" s="1"/>
  <c r="AB34" i="1" s="1" a="1"/>
  <c r="AB34" i="1" s="1"/>
  <c r="X33" i="1" a="1"/>
  <c r="X33" i="1" s="1"/>
  <c r="AI33" i="1" s="1" a="1"/>
  <c r="AI33" i="1" s="1"/>
  <c r="W33" i="1" a="1"/>
  <c r="W33" i="1" s="1"/>
  <c r="AH33" i="1" s="1" a="1"/>
  <c r="AH33" i="1" s="1"/>
  <c r="V33" i="1" a="1"/>
  <c r="V33" i="1" s="1"/>
  <c r="AG33" i="1" s="1" a="1"/>
  <c r="AG33" i="1" s="1"/>
  <c r="U33" i="1" a="1"/>
  <c r="U33" i="1" s="1"/>
  <c r="AF33" i="1" s="1" a="1"/>
  <c r="AF33" i="1" s="1"/>
  <c r="T33" i="1" a="1"/>
  <c r="T33" i="1" s="1"/>
  <c r="AE33" i="1" s="1" a="1"/>
  <c r="AE33" i="1" s="1"/>
  <c r="S33" i="1" a="1"/>
  <c r="S33" i="1" s="1"/>
  <c r="AD33" i="1" s="1" a="1"/>
  <c r="AD33" i="1" s="1"/>
  <c r="R33" i="1" a="1"/>
  <c r="R33" i="1" s="1"/>
  <c r="AC33" i="1" s="1" a="1"/>
  <c r="AC33" i="1" s="1"/>
  <c r="Q33" i="1" a="1"/>
  <c r="Q33" i="1" s="1"/>
  <c r="AB33" i="1" s="1" a="1"/>
  <c r="AB33" i="1" s="1"/>
  <c r="X32" i="1" a="1"/>
  <c r="X32" i="1" s="1"/>
  <c r="AI32" i="1" s="1" a="1"/>
  <c r="AI32" i="1" s="1"/>
  <c r="W32" i="1" a="1"/>
  <c r="W32" i="1" s="1"/>
  <c r="AH32" i="1" s="1" a="1"/>
  <c r="AH32" i="1" s="1"/>
  <c r="V32" i="1" a="1"/>
  <c r="V32" i="1" s="1"/>
  <c r="AG32" i="1" s="1" a="1"/>
  <c r="AG32" i="1" s="1"/>
  <c r="U32" i="1" a="1"/>
  <c r="U32" i="1" s="1"/>
  <c r="AF32" i="1" s="1" a="1"/>
  <c r="AF32" i="1" s="1"/>
  <c r="T32" i="1" a="1"/>
  <c r="T32" i="1" s="1"/>
  <c r="AE32" i="1" s="1" a="1"/>
  <c r="AE32" i="1" s="1"/>
  <c r="S32" i="1" a="1"/>
  <c r="S32" i="1" s="1"/>
  <c r="AD32" i="1" s="1" a="1"/>
  <c r="AD32" i="1" s="1"/>
  <c r="R32" i="1" a="1"/>
  <c r="R32" i="1" s="1"/>
  <c r="AC32" i="1" s="1" a="1"/>
  <c r="AC32" i="1" s="1"/>
  <c r="Q32" i="1" a="1"/>
  <c r="Q32" i="1" s="1"/>
  <c r="AB32" i="1" s="1" a="1"/>
  <c r="AB32" i="1" s="1"/>
  <c r="X31" i="1" a="1"/>
  <c r="X31" i="1" s="1"/>
  <c r="AI31" i="1" s="1" a="1"/>
  <c r="AI31" i="1" s="1"/>
  <c r="W31" i="1" a="1"/>
  <c r="W31" i="1" s="1"/>
  <c r="AH31" i="1" s="1" a="1"/>
  <c r="AH31" i="1" s="1"/>
  <c r="V31" i="1" a="1"/>
  <c r="V31" i="1" s="1"/>
  <c r="AG31" i="1" s="1" a="1"/>
  <c r="AG31" i="1" s="1"/>
  <c r="U31" i="1" a="1"/>
  <c r="U31" i="1" s="1"/>
  <c r="AF31" i="1" s="1" a="1"/>
  <c r="AF31" i="1" s="1"/>
  <c r="T31" i="1" a="1"/>
  <c r="T31" i="1" s="1"/>
  <c r="AE31" i="1" s="1" a="1"/>
  <c r="AE31" i="1" s="1"/>
  <c r="S31" i="1" a="1"/>
  <c r="S31" i="1" s="1"/>
  <c r="AD31" i="1" s="1" a="1"/>
  <c r="AD31" i="1" s="1"/>
  <c r="R31" i="1" a="1"/>
  <c r="R31" i="1" s="1"/>
  <c r="AC31" i="1" s="1" a="1"/>
  <c r="AC31" i="1" s="1"/>
  <c r="Q31" i="1" a="1"/>
  <c r="Q31" i="1" s="1"/>
  <c r="AB31" i="1" s="1" a="1"/>
  <c r="AB31" i="1" s="1"/>
  <c r="X30" i="1" a="1"/>
  <c r="X30" i="1" s="1"/>
  <c r="AI30" i="1" s="1" a="1"/>
  <c r="AI30" i="1" s="1"/>
  <c r="W30" i="1" a="1"/>
  <c r="W30" i="1" s="1"/>
  <c r="AH30" i="1" s="1" a="1"/>
  <c r="AH30" i="1" s="1"/>
  <c r="V30" i="1" a="1"/>
  <c r="V30" i="1" s="1"/>
  <c r="AG30" i="1" s="1" a="1"/>
  <c r="AG30" i="1" s="1"/>
  <c r="U30" i="1" a="1"/>
  <c r="U30" i="1" s="1"/>
  <c r="AF30" i="1" s="1" a="1"/>
  <c r="AF30" i="1" s="1"/>
  <c r="T30" i="1" a="1"/>
  <c r="T30" i="1" s="1"/>
  <c r="AE30" i="1" s="1" a="1"/>
  <c r="AE30" i="1" s="1"/>
  <c r="S30" i="1" a="1"/>
  <c r="S30" i="1" s="1"/>
  <c r="AD30" i="1" s="1" a="1"/>
  <c r="AD30" i="1" s="1"/>
  <c r="R30" i="1" a="1"/>
  <c r="R30" i="1" s="1"/>
  <c r="AC30" i="1" s="1" a="1"/>
  <c r="AC30" i="1" s="1"/>
  <c r="Q30" i="1" a="1"/>
  <c r="Q30" i="1" s="1"/>
  <c r="AB30" i="1" s="1" a="1"/>
  <c r="AB30" i="1" s="1"/>
  <c r="X29" i="1" a="1"/>
  <c r="X29" i="1" s="1"/>
  <c r="AI29" i="1" s="1" a="1"/>
  <c r="AI29" i="1" s="1"/>
  <c r="W29" i="1" a="1"/>
  <c r="W29" i="1" s="1"/>
  <c r="AH29" i="1" s="1" a="1"/>
  <c r="AH29" i="1" s="1"/>
  <c r="V29" i="1" a="1"/>
  <c r="V29" i="1" s="1"/>
  <c r="AG29" i="1" s="1" a="1"/>
  <c r="AG29" i="1" s="1"/>
  <c r="U29" i="1" a="1"/>
  <c r="U29" i="1" s="1"/>
  <c r="AF29" i="1" s="1" a="1"/>
  <c r="AF29" i="1" s="1"/>
  <c r="T29" i="1" a="1"/>
  <c r="T29" i="1" s="1"/>
  <c r="AE29" i="1" s="1" a="1"/>
  <c r="AE29" i="1" s="1"/>
  <c r="S29" i="1" a="1"/>
  <c r="S29" i="1" s="1"/>
  <c r="AD29" i="1" s="1" a="1"/>
  <c r="AD29" i="1" s="1"/>
  <c r="R29" i="1" a="1"/>
  <c r="R29" i="1" s="1"/>
  <c r="AC29" i="1" s="1" a="1"/>
  <c r="AC29" i="1" s="1"/>
  <c r="Q29" i="1" a="1"/>
  <c r="Q29" i="1" s="1"/>
  <c r="AB29" i="1" s="1" a="1"/>
  <c r="AB29" i="1" s="1"/>
  <c r="X28" i="1" a="1"/>
  <c r="X28" i="1" s="1"/>
  <c r="AI28" i="1" s="1" a="1"/>
  <c r="AI28" i="1" s="1"/>
  <c r="W28" i="1" a="1"/>
  <c r="W28" i="1" s="1"/>
  <c r="AH28" i="1" s="1" a="1"/>
  <c r="AH28" i="1" s="1"/>
  <c r="V28" i="1" a="1"/>
  <c r="V28" i="1" s="1"/>
  <c r="AG28" i="1" s="1" a="1"/>
  <c r="AG28" i="1" s="1"/>
  <c r="U28" i="1" a="1"/>
  <c r="U28" i="1" s="1"/>
  <c r="AF28" i="1" s="1" a="1"/>
  <c r="AF28" i="1" s="1"/>
  <c r="T28" i="1" a="1"/>
  <c r="T28" i="1" s="1"/>
  <c r="AE28" i="1" s="1" a="1"/>
  <c r="AE28" i="1" s="1"/>
  <c r="S28" i="1" a="1"/>
  <c r="S28" i="1" s="1"/>
  <c r="AD28" i="1" s="1" a="1"/>
  <c r="AD28" i="1" s="1"/>
  <c r="R28" i="1" a="1"/>
  <c r="R28" i="1" s="1"/>
  <c r="AC28" i="1" s="1" a="1"/>
  <c r="AC28" i="1" s="1"/>
  <c r="Q28" i="1" a="1"/>
  <c r="Q28" i="1" s="1"/>
  <c r="AB28" i="1" s="1" a="1"/>
  <c r="AB28" i="1" s="1"/>
  <c r="X27" i="1" a="1"/>
  <c r="X27" i="1" s="1"/>
  <c r="AI27" i="1" s="1" a="1"/>
  <c r="AI27" i="1" s="1"/>
  <c r="W27" i="1" a="1"/>
  <c r="W27" i="1" s="1"/>
  <c r="AH27" i="1" s="1" a="1"/>
  <c r="AH27" i="1" s="1"/>
  <c r="V27" i="1" a="1"/>
  <c r="V27" i="1" s="1"/>
  <c r="AG27" i="1" s="1" a="1"/>
  <c r="AG27" i="1" s="1"/>
  <c r="U27" i="1" a="1"/>
  <c r="U27" i="1" s="1"/>
  <c r="AF27" i="1" s="1" a="1"/>
  <c r="AF27" i="1" s="1"/>
  <c r="T27" i="1" a="1"/>
  <c r="T27" i="1" s="1"/>
  <c r="AE27" i="1" s="1" a="1"/>
  <c r="AE27" i="1" s="1"/>
  <c r="S27" i="1" a="1"/>
  <c r="S27" i="1" s="1"/>
  <c r="AD27" i="1" s="1" a="1"/>
  <c r="AD27" i="1" s="1"/>
  <c r="R27" i="1" a="1"/>
  <c r="R27" i="1" s="1"/>
  <c r="AC27" i="1" s="1" a="1"/>
  <c r="AC27" i="1" s="1"/>
  <c r="Q27" i="1" a="1"/>
  <c r="Q27" i="1" s="1"/>
  <c r="AB27" i="1" s="1" a="1"/>
  <c r="AB27" i="1" s="1"/>
  <c r="X26" i="1" a="1"/>
  <c r="X26" i="1" s="1"/>
  <c r="AI26" i="1" s="1" a="1"/>
  <c r="AI26" i="1" s="1"/>
  <c r="W26" i="1" a="1"/>
  <c r="W26" i="1" s="1"/>
  <c r="AH26" i="1" s="1" a="1"/>
  <c r="AH26" i="1" s="1"/>
  <c r="V26" i="1" a="1"/>
  <c r="V26" i="1" s="1"/>
  <c r="AG26" i="1" s="1" a="1"/>
  <c r="AG26" i="1" s="1"/>
  <c r="U26" i="1" a="1"/>
  <c r="U26" i="1" s="1"/>
  <c r="AF26" i="1" s="1" a="1"/>
  <c r="AF26" i="1" s="1"/>
  <c r="T26" i="1" a="1"/>
  <c r="T26" i="1" s="1"/>
  <c r="AE26" i="1" s="1" a="1"/>
  <c r="AE26" i="1" s="1"/>
  <c r="S26" i="1" a="1"/>
  <c r="S26" i="1" s="1"/>
  <c r="AD26" i="1" s="1" a="1"/>
  <c r="AD26" i="1" s="1"/>
  <c r="R26" i="1" a="1"/>
  <c r="R26" i="1" s="1"/>
  <c r="AC26" i="1" s="1" a="1"/>
  <c r="AC26" i="1" s="1"/>
  <c r="Q26" i="1" a="1"/>
  <c r="Q26" i="1" s="1"/>
  <c r="AB26" i="1" s="1" a="1"/>
  <c r="AB26" i="1" s="1"/>
  <c r="X25" i="1" a="1"/>
  <c r="X25" i="1" s="1"/>
  <c r="AI25" i="1" s="1" a="1"/>
  <c r="AI25" i="1" s="1"/>
  <c r="W25" i="1" a="1"/>
  <c r="W25" i="1" s="1"/>
  <c r="AH25" i="1" s="1" a="1"/>
  <c r="AH25" i="1" s="1"/>
  <c r="V25" i="1" a="1"/>
  <c r="V25" i="1" s="1"/>
  <c r="AG25" i="1" s="1" a="1"/>
  <c r="AG25" i="1" s="1"/>
  <c r="U25" i="1" a="1"/>
  <c r="U25" i="1" s="1"/>
  <c r="AF25" i="1" s="1" a="1"/>
  <c r="AF25" i="1" s="1"/>
  <c r="T25" i="1" a="1"/>
  <c r="T25" i="1" s="1"/>
  <c r="AE25" i="1" s="1" a="1"/>
  <c r="AE25" i="1" s="1"/>
  <c r="S25" i="1" a="1"/>
  <c r="S25" i="1" s="1"/>
  <c r="AD25" i="1" s="1" a="1"/>
  <c r="AD25" i="1" s="1"/>
  <c r="R25" i="1" a="1"/>
  <c r="R25" i="1" s="1"/>
  <c r="AC25" i="1" s="1" a="1"/>
  <c r="AC25" i="1" s="1"/>
  <c r="Q25" i="1" a="1"/>
  <c r="Q25" i="1" s="1"/>
  <c r="AB25" i="1" s="1" a="1"/>
  <c r="AB25" i="1" s="1"/>
  <c r="X24" i="1" a="1"/>
  <c r="X24" i="1" s="1"/>
  <c r="AI24" i="1" s="1" a="1"/>
  <c r="AI24" i="1" s="1"/>
  <c r="W24" i="1" a="1"/>
  <c r="W24" i="1" s="1"/>
  <c r="AH24" i="1" s="1" a="1"/>
  <c r="AH24" i="1" s="1"/>
  <c r="V24" i="1" a="1"/>
  <c r="V24" i="1" s="1"/>
  <c r="AG24" i="1" s="1" a="1"/>
  <c r="AG24" i="1" s="1"/>
  <c r="U24" i="1" a="1"/>
  <c r="U24" i="1" s="1"/>
  <c r="AF24" i="1" s="1" a="1"/>
  <c r="AF24" i="1" s="1"/>
  <c r="T24" i="1" a="1"/>
  <c r="T24" i="1" s="1"/>
  <c r="AE24" i="1" s="1" a="1"/>
  <c r="AE24" i="1" s="1"/>
  <c r="S24" i="1" a="1"/>
  <c r="S24" i="1" s="1"/>
  <c r="AD24" i="1" s="1" a="1"/>
  <c r="AD24" i="1" s="1"/>
  <c r="R24" i="1" a="1"/>
  <c r="R24" i="1" s="1"/>
  <c r="AC24" i="1" s="1" a="1"/>
  <c r="AC24" i="1" s="1"/>
  <c r="Q24" i="1" a="1"/>
  <c r="Q24" i="1" s="1"/>
  <c r="AB24" i="1" s="1" a="1"/>
  <c r="AB24" i="1" s="1"/>
  <c r="P65" i="1" a="1"/>
  <c r="P65" i="1" s="1"/>
  <c r="P64" i="1" a="1"/>
  <c r="P64" i="1" s="1"/>
  <c r="P63" i="1" a="1"/>
  <c r="P63" i="1" s="1"/>
  <c r="P62" i="1" a="1"/>
  <c r="P62" i="1" s="1"/>
  <c r="P61" i="1" a="1"/>
  <c r="P61" i="1" s="1"/>
  <c r="P60" i="1" a="1"/>
  <c r="P60" i="1" s="1"/>
  <c r="P59" i="1" a="1"/>
  <c r="P59" i="1" s="1"/>
  <c r="P58" i="1" a="1"/>
  <c r="P58" i="1" s="1"/>
  <c r="P57" i="1" a="1"/>
  <c r="P57" i="1" s="1"/>
  <c r="P56" i="1" a="1"/>
  <c r="P56" i="1" s="1"/>
  <c r="P55" i="1" a="1"/>
  <c r="P55" i="1" s="1"/>
  <c r="P54" i="1" a="1"/>
  <c r="P54" i="1" s="1"/>
  <c r="P53" i="1" a="1"/>
  <c r="P53" i="1" s="1"/>
  <c r="P52" i="1" a="1"/>
  <c r="P52" i="1" s="1"/>
  <c r="P51" i="1" a="1"/>
  <c r="P51" i="1" s="1"/>
  <c r="P50" i="1" a="1"/>
  <c r="P50" i="1" s="1"/>
  <c r="P49" i="1" a="1"/>
  <c r="P49" i="1" s="1"/>
  <c r="P48" i="1" a="1"/>
  <c r="P48" i="1" s="1"/>
  <c r="P47" i="1" a="1"/>
  <c r="P47" i="1" s="1"/>
  <c r="P46" i="1" a="1"/>
  <c r="P46" i="1" s="1"/>
  <c r="P45" i="1" a="1"/>
  <c r="P45" i="1" s="1"/>
  <c r="P44" i="1" a="1"/>
  <c r="P44" i="1" s="1"/>
  <c r="P43" i="1" a="1"/>
  <c r="P43" i="1" s="1"/>
  <c r="P42" i="1" a="1"/>
  <c r="P42" i="1" s="1"/>
  <c r="P41" i="1" a="1"/>
  <c r="P41" i="1" s="1"/>
  <c r="P40" i="1" a="1"/>
  <c r="P40" i="1" s="1"/>
  <c r="P39" i="1" a="1"/>
  <c r="P39" i="1" s="1"/>
  <c r="P38" i="1" a="1"/>
  <c r="P38" i="1" s="1"/>
  <c r="P37" i="1" a="1"/>
  <c r="P37" i="1" s="1"/>
  <c r="P36" i="1" a="1"/>
  <c r="P36" i="1" s="1"/>
  <c r="P35" i="1" a="1"/>
  <c r="P35" i="1" s="1"/>
  <c r="P34" i="1" a="1"/>
  <c r="P34" i="1" s="1"/>
  <c r="P33" i="1" a="1"/>
  <c r="P33" i="1" s="1"/>
  <c r="P32" i="1" a="1"/>
  <c r="P32" i="1" s="1"/>
  <c r="P31" i="1" a="1"/>
  <c r="P31" i="1" s="1"/>
  <c r="P30" i="1" a="1"/>
  <c r="P30" i="1" s="1"/>
  <c r="P29" i="1" a="1"/>
  <c r="P29" i="1" s="1"/>
  <c r="P28" i="1" a="1"/>
  <c r="P28" i="1" s="1"/>
  <c r="P27" i="1" a="1"/>
  <c r="P27" i="1" s="1"/>
  <c r="P26" i="1" a="1"/>
  <c r="P26" i="1" s="1"/>
  <c r="P25" i="1" a="1"/>
  <c r="P25" i="1" s="1"/>
  <c r="P24" i="1" a="1"/>
  <c r="P24" i="1" s="1"/>
  <c r="O65" i="1" a="1"/>
  <c r="O65" i="1" s="1"/>
  <c r="O64" i="1" a="1"/>
  <c r="O64" i="1" s="1"/>
  <c r="O63" i="1" a="1"/>
  <c r="O63" i="1" s="1"/>
  <c r="O62" i="1" a="1"/>
  <c r="O62" i="1" s="1"/>
  <c r="O61" i="1" a="1"/>
  <c r="O61" i="1" s="1"/>
  <c r="O60" i="1" a="1"/>
  <c r="O60" i="1" s="1"/>
  <c r="O59" i="1" a="1"/>
  <c r="O59" i="1" s="1"/>
  <c r="O58" i="1" a="1"/>
  <c r="O58" i="1" s="1"/>
  <c r="O57" i="1" a="1"/>
  <c r="O57" i="1" s="1"/>
  <c r="O56" i="1" a="1"/>
  <c r="O56" i="1" s="1"/>
  <c r="O55" i="1" a="1"/>
  <c r="O55" i="1" s="1"/>
  <c r="O54" i="1" a="1"/>
  <c r="O54" i="1" s="1"/>
  <c r="O53" i="1" a="1"/>
  <c r="O53" i="1" s="1"/>
  <c r="O52" i="1" a="1"/>
  <c r="O52" i="1" s="1"/>
  <c r="O51" i="1" a="1"/>
  <c r="O51" i="1" s="1"/>
  <c r="O50" i="1" a="1"/>
  <c r="O50" i="1" s="1"/>
  <c r="O49" i="1" a="1"/>
  <c r="O49" i="1" s="1"/>
  <c r="O48" i="1" a="1"/>
  <c r="O48" i="1" s="1"/>
  <c r="O47" i="1" a="1"/>
  <c r="O47" i="1" s="1"/>
  <c r="O46" i="1" a="1"/>
  <c r="O46" i="1" s="1"/>
  <c r="O45" i="1" a="1"/>
  <c r="O45" i="1" s="1"/>
  <c r="O44" i="1" a="1"/>
  <c r="O44" i="1" s="1"/>
  <c r="O43" i="1" a="1"/>
  <c r="O43" i="1" s="1"/>
  <c r="O42" i="1" a="1"/>
  <c r="O42" i="1" s="1"/>
  <c r="O41" i="1" a="1"/>
  <c r="O41" i="1" s="1"/>
  <c r="O40" i="1" a="1"/>
  <c r="O40" i="1" s="1"/>
  <c r="O39" i="1" a="1"/>
  <c r="O39" i="1" s="1"/>
  <c r="O38" i="1" a="1"/>
  <c r="O38" i="1" s="1"/>
  <c r="O37" i="1" a="1"/>
  <c r="O37" i="1" s="1"/>
  <c r="O36" i="1" a="1"/>
  <c r="O36" i="1" s="1"/>
  <c r="O35" i="1" a="1"/>
  <c r="O35" i="1" s="1"/>
  <c r="O34" i="1" a="1"/>
  <c r="O34" i="1" s="1"/>
  <c r="O33" i="1" a="1"/>
  <c r="O33" i="1" s="1"/>
  <c r="O32" i="1" a="1"/>
  <c r="O32" i="1" s="1"/>
  <c r="O31" i="1" a="1"/>
  <c r="O31" i="1" s="1"/>
  <c r="O30" i="1" a="1"/>
  <c r="O30" i="1" s="1"/>
  <c r="O29" i="1" a="1"/>
  <c r="O29" i="1" s="1"/>
  <c r="O28" i="1" a="1"/>
  <c r="O28" i="1" s="1"/>
  <c r="O27" i="1" a="1"/>
  <c r="O27" i="1" s="1"/>
  <c r="O26" i="1" a="1"/>
  <c r="O26" i="1" s="1"/>
  <c r="O25" i="1" a="1"/>
  <c r="O25" i="1" s="1"/>
  <c r="O24" i="1" a="1"/>
  <c r="O24" i="1" s="1"/>
  <c r="G24" i="1" a="1"/>
  <c r="G24" i="1" s="1"/>
  <c r="N24" i="1" a="1"/>
  <c r="N24" i="1" s="1"/>
  <c r="G25" i="1" a="1"/>
  <c r="G25" i="1" s="1"/>
  <c r="G26" i="1" a="1"/>
  <c r="G26" i="1" s="1"/>
  <c r="G27" i="1" a="1"/>
  <c r="G27" i="1" s="1"/>
  <c r="G28" i="1" a="1"/>
  <c r="G28" i="1" s="1"/>
  <c r="G29" i="1" a="1"/>
  <c r="G29" i="1" s="1"/>
  <c r="G30" i="1" a="1"/>
  <c r="G30" i="1" s="1"/>
  <c r="G31" i="1" a="1"/>
  <c r="G31" i="1" s="1"/>
  <c r="G32" i="1" a="1"/>
  <c r="G32" i="1" s="1"/>
  <c r="G33" i="1" a="1"/>
  <c r="G33" i="1" s="1"/>
  <c r="G34" i="1" a="1"/>
  <c r="G34" i="1" s="1"/>
  <c r="G35" i="1" a="1"/>
  <c r="G35" i="1" s="1"/>
  <c r="G36" i="1" a="1"/>
  <c r="G36" i="1" s="1"/>
  <c r="G37" i="1" a="1"/>
  <c r="G37" i="1" s="1"/>
  <c r="G38" i="1" a="1"/>
  <c r="G38" i="1" s="1"/>
  <c r="G39" i="1" a="1"/>
  <c r="G39" i="1" s="1"/>
  <c r="G40" i="1" a="1"/>
  <c r="G40" i="1" s="1"/>
  <c r="G41" i="1" a="1"/>
  <c r="G41" i="1" s="1"/>
  <c r="G42" i="1" a="1"/>
  <c r="G42" i="1" s="1"/>
  <c r="G43" i="1" a="1"/>
  <c r="G43" i="1" s="1"/>
  <c r="G44" i="1" a="1"/>
  <c r="G44" i="1" s="1"/>
  <c r="G45" i="1" a="1"/>
  <c r="G45" i="1" s="1"/>
  <c r="G46" i="1" a="1"/>
  <c r="G46" i="1" s="1"/>
  <c r="G47" i="1" a="1"/>
  <c r="G47" i="1" s="1"/>
  <c r="G48" i="1" a="1"/>
  <c r="G48" i="1" s="1"/>
  <c r="N25" i="1" a="1"/>
  <c r="N25" i="1" s="1"/>
  <c r="N26" i="1" a="1"/>
  <c r="N26" i="1" s="1"/>
  <c r="N27" i="1" a="1"/>
  <c r="N27" i="1" s="1"/>
  <c r="N28" i="1" a="1"/>
  <c r="N28" i="1" s="1"/>
  <c r="N29" i="1" a="1"/>
  <c r="N29" i="1" s="1"/>
  <c r="N30" i="1" a="1"/>
  <c r="N30" i="1" s="1"/>
  <c r="N31" i="1" a="1"/>
  <c r="N31" i="1" s="1"/>
  <c r="N32" i="1" a="1"/>
  <c r="N32" i="1" s="1"/>
  <c r="N33" i="1" a="1"/>
  <c r="N33" i="1" s="1"/>
  <c r="N34" i="1" a="1"/>
  <c r="N34" i="1" s="1"/>
  <c r="N35" i="1" a="1"/>
  <c r="N35" i="1" s="1"/>
  <c r="N36" i="1" a="1"/>
  <c r="N36" i="1" s="1"/>
  <c r="N37" i="1" a="1"/>
  <c r="N37" i="1" s="1"/>
  <c r="N38" i="1" a="1"/>
  <c r="N38" i="1" s="1"/>
  <c r="N39" i="1" a="1"/>
  <c r="N39" i="1" s="1"/>
  <c r="N40" i="1" a="1"/>
  <c r="N40" i="1" s="1"/>
  <c r="N41" i="1" a="1"/>
  <c r="N41" i="1" s="1"/>
  <c r="N42" i="1" a="1"/>
  <c r="N42" i="1" s="1"/>
  <c r="N43" i="1" a="1"/>
  <c r="N43" i="1" s="1"/>
  <c r="N44" i="1" a="1"/>
  <c r="N44" i="1" s="1"/>
  <c r="N45" i="1" a="1"/>
  <c r="N45" i="1" s="1"/>
  <c r="N46" i="1" a="1"/>
  <c r="N46" i="1" s="1"/>
  <c r="N47" i="1" a="1"/>
  <c r="N47" i="1" s="1"/>
  <c r="N48" i="1" a="1"/>
  <c r="N48" i="1" s="1"/>
  <c r="G49" i="1" a="1"/>
  <c r="G49" i="1" s="1"/>
  <c r="G50" i="1" a="1"/>
  <c r="G50" i="1" s="1"/>
  <c r="G51" i="1" a="1"/>
  <c r="G51" i="1" s="1"/>
  <c r="G52" i="1" a="1"/>
  <c r="G52" i="1" s="1"/>
  <c r="G53" i="1" a="1"/>
  <c r="G53" i="1" s="1"/>
  <c r="G54" i="1" a="1"/>
  <c r="G54" i="1" s="1"/>
  <c r="G55" i="1" a="1"/>
  <c r="G55" i="1" s="1"/>
  <c r="G56" i="1" a="1"/>
  <c r="G56" i="1" s="1"/>
  <c r="G57" i="1" a="1"/>
  <c r="G57" i="1" s="1"/>
  <c r="G58" i="1" a="1"/>
  <c r="G58" i="1" s="1"/>
  <c r="G59" i="1" a="1"/>
  <c r="G59" i="1" s="1"/>
  <c r="G60" i="1" a="1"/>
  <c r="G60" i="1" s="1"/>
  <c r="N49" i="1" a="1"/>
  <c r="N49" i="1" s="1"/>
  <c r="N50" i="1" a="1"/>
  <c r="N50" i="1" s="1"/>
  <c r="N51" i="1" a="1"/>
  <c r="N51" i="1" s="1"/>
  <c r="N52" i="1" a="1"/>
  <c r="N52" i="1" s="1"/>
  <c r="N53" i="1" a="1"/>
  <c r="N53" i="1" s="1"/>
  <c r="N54" i="1" a="1"/>
  <c r="N54" i="1" s="1"/>
  <c r="N55" i="1" a="1"/>
  <c r="N55" i="1" s="1"/>
  <c r="N56" i="1" a="1"/>
  <c r="N56" i="1" s="1"/>
  <c r="N57" i="1" a="1"/>
  <c r="N57" i="1" s="1"/>
  <c r="N58" i="1" a="1"/>
  <c r="N58" i="1" s="1"/>
  <c r="N59" i="1" a="1"/>
  <c r="N59" i="1" s="1"/>
  <c r="N60" i="1" a="1"/>
  <c r="N60" i="1" s="1"/>
  <c r="G61" i="1" a="1"/>
  <c r="G61" i="1" s="1"/>
  <c r="G62" i="1" a="1"/>
  <c r="G62" i="1" s="1"/>
  <c r="G63" i="1" a="1"/>
  <c r="G63" i="1" s="1"/>
  <c r="G64" i="1" a="1"/>
  <c r="G64" i="1" s="1"/>
  <c r="G65" i="1" a="1"/>
  <c r="G65" i="1" s="1"/>
  <c r="N61" i="1" a="1"/>
  <c r="N61" i="1" s="1"/>
  <c r="N62" i="1" a="1"/>
  <c r="N62" i="1" s="1"/>
  <c r="N63" i="1" a="1"/>
  <c r="N63" i="1" s="1"/>
  <c r="N64" i="1" a="1"/>
  <c r="N64" i="1" s="1"/>
  <c r="N65" i="1" a="1"/>
  <c r="N65" i="1" s="1"/>
  <c r="V46" i="14" l="1" a="1"/>
  <c r="V46" i="14" s="1"/>
  <c r="AG46" i="14" s="1" a="1"/>
  <c r="AG46" i="14" s="1"/>
  <c r="U46" i="14" a="1"/>
  <c r="U46" i="14" s="1"/>
  <c r="AF46" i="14" s="1" a="1"/>
  <c r="AF46" i="14" s="1"/>
  <c r="T46" i="14" a="1"/>
  <c r="T46" i="14" s="1"/>
  <c r="AE46" i="14" s="1" a="1"/>
  <c r="AE46" i="14" s="1"/>
  <c r="S46" i="14" a="1"/>
  <c r="S46" i="14" s="1"/>
  <c r="AD46" i="14" s="1" a="1"/>
  <c r="AD46" i="14" s="1"/>
  <c r="R46" i="14" a="1"/>
  <c r="R46" i="14" s="1"/>
  <c r="AC46" i="14" s="1" a="1"/>
  <c r="AC46" i="14" s="1"/>
  <c r="Q46" i="14" a="1"/>
  <c r="Q46" i="14" s="1"/>
  <c r="AB46" i="14" s="1" a="1"/>
  <c r="AB46" i="14" s="1"/>
  <c r="P46" i="14" a="1"/>
  <c r="P46" i="14" s="1"/>
  <c r="AA46" i="14" s="1" a="1"/>
  <c r="AA46" i="14" s="1"/>
  <c r="O46" i="14" a="1"/>
  <c r="O46" i="14" s="1"/>
  <c r="Z46" i="14" s="1" a="1"/>
  <c r="Z46" i="14" s="1"/>
  <c r="N46" i="14" a="1"/>
  <c r="N46" i="14" s="1"/>
  <c r="M46" i="14" a="1"/>
  <c r="M46" i="14" s="1"/>
  <c r="L46" i="14" a="1"/>
  <c r="L46" i="14" s="1"/>
  <c r="E46" i="14" a="1"/>
  <c r="E46" i="14" s="1"/>
  <c r="V45" i="14" a="1"/>
  <c r="V45" i="14" s="1"/>
  <c r="AG45" i="14" s="1" a="1"/>
  <c r="AG45" i="14" s="1"/>
  <c r="U45" i="14" a="1"/>
  <c r="U45" i="14" s="1"/>
  <c r="AF45" i="14" s="1" a="1"/>
  <c r="AF45" i="14" s="1"/>
  <c r="T45" i="14" a="1"/>
  <c r="T45" i="14" s="1"/>
  <c r="AE45" i="14" s="1" a="1"/>
  <c r="AE45" i="14" s="1"/>
  <c r="S45" i="14" a="1"/>
  <c r="S45" i="14" s="1"/>
  <c r="AD45" i="14" s="1" a="1"/>
  <c r="AD45" i="14" s="1"/>
  <c r="R45" i="14" a="1"/>
  <c r="R45" i="14" s="1"/>
  <c r="AC45" i="14" s="1" a="1"/>
  <c r="AC45" i="14" s="1"/>
  <c r="Q45" i="14" a="1"/>
  <c r="Q45" i="14" s="1"/>
  <c r="AB45" i="14" s="1" a="1"/>
  <c r="AB45" i="14" s="1"/>
  <c r="P45" i="14" a="1"/>
  <c r="P45" i="14" s="1"/>
  <c r="AA45" i="14" s="1" a="1"/>
  <c r="AA45" i="14" s="1"/>
  <c r="O45" i="14" a="1"/>
  <c r="O45" i="14" s="1"/>
  <c r="Z45" i="14" s="1" a="1"/>
  <c r="Z45" i="14" s="1"/>
  <c r="N45" i="14" a="1"/>
  <c r="N45" i="14" s="1"/>
  <c r="M45" i="14" a="1"/>
  <c r="M45" i="14" s="1"/>
  <c r="L45" i="14" a="1"/>
  <c r="L45" i="14" s="1"/>
  <c r="E45" i="14" a="1"/>
  <c r="E45" i="14" s="1"/>
  <c r="V44" i="14" a="1"/>
  <c r="V44" i="14" s="1"/>
  <c r="AG44" i="14" s="1" a="1"/>
  <c r="AG44" i="14" s="1"/>
  <c r="U44" i="14" a="1"/>
  <c r="U44" i="14" s="1"/>
  <c r="AF44" i="14" s="1" a="1"/>
  <c r="AF44" i="14" s="1"/>
  <c r="T44" i="14" a="1"/>
  <c r="T44" i="14" s="1"/>
  <c r="AE44" i="14" s="1" a="1"/>
  <c r="AE44" i="14" s="1"/>
  <c r="S44" i="14" a="1"/>
  <c r="S44" i="14" s="1"/>
  <c r="AD44" i="14" s="1" a="1"/>
  <c r="AD44" i="14" s="1"/>
  <c r="R44" i="14" a="1"/>
  <c r="R44" i="14" s="1"/>
  <c r="AC44" i="14" s="1" a="1"/>
  <c r="AC44" i="14" s="1"/>
  <c r="Q44" i="14" a="1"/>
  <c r="Q44" i="14" s="1"/>
  <c r="AB44" i="14" s="1" a="1"/>
  <c r="AB44" i="14" s="1"/>
  <c r="P44" i="14" a="1"/>
  <c r="P44" i="14" s="1"/>
  <c r="AA44" i="14" s="1" a="1"/>
  <c r="AA44" i="14" s="1"/>
  <c r="O44" i="14" a="1"/>
  <c r="O44" i="14" s="1"/>
  <c r="Z44" i="14" s="1" a="1"/>
  <c r="Z44" i="14" s="1"/>
  <c r="N44" i="14" a="1"/>
  <c r="N44" i="14" s="1"/>
  <c r="M44" i="14" a="1"/>
  <c r="M44" i="14" s="1"/>
  <c r="L44" i="14" a="1"/>
  <c r="L44" i="14" s="1"/>
  <c r="E44" i="14" a="1"/>
  <c r="E44" i="14" s="1"/>
  <c r="V43" i="14" a="1"/>
  <c r="V43" i="14" s="1"/>
  <c r="AG43" i="14" s="1" a="1"/>
  <c r="AG43" i="14" s="1"/>
  <c r="U43" i="14" a="1"/>
  <c r="U43" i="14" s="1"/>
  <c r="AF43" i="14" s="1" a="1"/>
  <c r="AF43" i="14" s="1"/>
  <c r="T43" i="14" a="1"/>
  <c r="T43" i="14" s="1"/>
  <c r="AE43" i="14" s="1" a="1"/>
  <c r="AE43" i="14" s="1"/>
  <c r="S43" i="14" a="1"/>
  <c r="S43" i="14" s="1"/>
  <c r="AD43" i="14" s="1" a="1"/>
  <c r="AD43" i="14" s="1"/>
  <c r="R43" i="14" a="1"/>
  <c r="R43" i="14" s="1"/>
  <c r="AC43" i="14" s="1" a="1"/>
  <c r="AC43" i="14" s="1"/>
  <c r="Q43" i="14" a="1"/>
  <c r="Q43" i="14" s="1"/>
  <c r="AB43" i="14" s="1" a="1"/>
  <c r="AB43" i="14" s="1"/>
  <c r="P43" i="14" a="1"/>
  <c r="P43" i="14" s="1"/>
  <c r="AA43" i="14" s="1" a="1"/>
  <c r="AA43" i="14" s="1"/>
  <c r="O43" i="14" a="1"/>
  <c r="O43" i="14" s="1"/>
  <c r="Z43" i="14" s="1" a="1"/>
  <c r="Z43" i="14" s="1"/>
  <c r="N43" i="14" a="1"/>
  <c r="N43" i="14" s="1"/>
  <c r="M43" i="14" a="1"/>
  <c r="M43" i="14" s="1"/>
  <c r="L43" i="14" a="1"/>
  <c r="L43" i="14" s="1"/>
  <c r="E43" i="14" a="1"/>
  <c r="E43" i="14" s="1"/>
  <c r="V42" i="14" a="1"/>
  <c r="V42" i="14" s="1"/>
  <c r="AG42" i="14" s="1" a="1"/>
  <c r="AG42" i="14" s="1"/>
  <c r="U42" i="14" a="1"/>
  <c r="U42" i="14" s="1"/>
  <c r="AF42" i="14" s="1" a="1"/>
  <c r="AF42" i="14" s="1"/>
  <c r="T42" i="14" a="1"/>
  <c r="T42" i="14" s="1"/>
  <c r="AE42" i="14" s="1" a="1"/>
  <c r="AE42" i="14" s="1"/>
  <c r="S42" i="14" a="1"/>
  <c r="S42" i="14" s="1"/>
  <c r="AD42" i="14" s="1" a="1"/>
  <c r="AD42" i="14" s="1"/>
  <c r="R42" i="14" a="1"/>
  <c r="R42" i="14" s="1"/>
  <c r="AC42" i="14" s="1" a="1"/>
  <c r="AC42" i="14" s="1"/>
  <c r="Q42" i="14" a="1"/>
  <c r="Q42" i="14" s="1"/>
  <c r="AB42" i="14" s="1" a="1"/>
  <c r="AB42" i="14" s="1"/>
  <c r="P42" i="14" a="1"/>
  <c r="P42" i="14" s="1"/>
  <c r="AA42" i="14" s="1" a="1"/>
  <c r="AA42" i="14" s="1"/>
  <c r="O42" i="14" a="1"/>
  <c r="O42" i="14" s="1"/>
  <c r="Z42" i="14" s="1" a="1"/>
  <c r="Z42" i="14" s="1"/>
  <c r="N42" i="14" a="1"/>
  <c r="N42" i="14" s="1"/>
  <c r="M42" i="14" a="1"/>
  <c r="M42" i="14" s="1"/>
  <c r="L42" i="14" a="1"/>
  <c r="L42" i="14" s="1"/>
  <c r="E42" i="14" a="1"/>
  <c r="E42" i="14" s="1"/>
  <c r="V41" i="14" a="1"/>
  <c r="V41" i="14" s="1"/>
  <c r="AG41" i="14" s="1" a="1"/>
  <c r="AG41" i="14" s="1"/>
  <c r="U41" i="14" a="1"/>
  <c r="U41" i="14" s="1"/>
  <c r="AF41" i="14" s="1" a="1"/>
  <c r="AF41" i="14" s="1"/>
  <c r="T41" i="14" a="1"/>
  <c r="T41" i="14" s="1"/>
  <c r="AE41" i="14" s="1" a="1"/>
  <c r="AE41" i="14" s="1"/>
  <c r="S41" i="14" a="1"/>
  <c r="S41" i="14" s="1"/>
  <c r="AD41" i="14" s="1" a="1"/>
  <c r="AD41" i="14" s="1"/>
  <c r="R41" i="14" a="1"/>
  <c r="R41" i="14" s="1"/>
  <c r="AC41" i="14" s="1" a="1"/>
  <c r="AC41" i="14" s="1"/>
  <c r="Q41" i="14" a="1"/>
  <c r="Q41" i="14" s="1"/>
  <c r="AB41" i="14" s="1" a="1"/>
  <c r="AB41" i="14" s="1"/>
  <c r="P41" i="14" a="1"/>
  <c r="P41" i="14" s="1"/>
  <c r="AA41" i="14" s="1" a="1"/>
  <c r="AA41" i="14" s="1"/>
  <c r="O41" i="14" a="1"/>
  <c r="O41" i="14" s="1"/>
  <c r="Z41" i="14" s="1" a="1"/>
  <c r="Z41" i="14" s="1"/>
  <c r="N41" i="14" a="1"/>
  <c r="N41" i="14" s="1"/>
  <c r="M41" i="14" a="1"/>
  <c r="M41" i="14" s="1"/>
  <c r="L41" i="14" a="1"/>
  <c r="L41" i="14" s="1"/>
  <c r="E41" i="14" a="1"/>
  <c r="E41" i="14" s="1"/>
  <c r="V24" i="14" a="1"/>
  <c r="V24" i="14" s="1"/>
  <c r="AG24" i="14" s="1" a="1"/>
  <c r="AG24" i="14" s="1"/>
  <c r="U24" i="14" a="1"/>
  <c r="U24" i="14" s="1"/>
  <c r="AF24" i="14" s="1" a="1"/>
  <c r="AF24" i="14" s="1"/>
  <c r="T24" i="14" a="1"/>
  <c r="T24" i="14" s="1"/>
  <c r="AE24" i="14" s="1" a="1"/>
  <c r="AE24" i="14" s="1"/>
  <c r="S24" i="14" a="1"/>
  <c r="S24" i="14" s="1"/>
  <c r="AD24" i="14" s="1" a="1"/>
  <c r="AD24" i="14" s="1"/>
  <c r="R24" i="14" a="1"/>
  <c r="R24" i="14" s="1"/>
  <c r="AC24" i="14" s="1" a="1"/>
  <c r="AC24" i="14" s="1"/>
  <c r="Q24" i="14" a="1"/>
  <c r="Q24" i="14" s="1"/>
  <c r="AB24" i="14" s="1" a="1"/>
  <c r="AB24" i="14" s="1"/>
  <c r="P24" i="14" a="1"/>
  <c r="P24" i="14" s="1"/>
  <c r="AA24" i="14" s="1" a="1"/>
  <c r="AA24" i="14" s="1"/>
  <c r="O24" i="14" a="1"/>
  <c r="O24" i="14" s="1"/>
  <c r="Z24" i="14" s="1" a="1"/>
  <c r="Z24" i="14" s="1"/>
  <c r="N24" i="14" a="1"/>
  <c r="N24" i="14" s="1"/>
  <c r="M24" i="14" a="1"/>
  <c r="M24" i="14" s="1"/>
  <c r="L24" i="14" a="1"/>
  <c r="L24" i="14" s="1"/>
  <c r="E24" i="14" a="1"/>
  <c r="E24" i="14" s="1"/>
  <c r="V23" i="14" a="1"/>
  <c r="V23" i="14" s="1"/>
  <c r="AG23" i="14" s="1" a="1"/>
  <c r="AG23" i="14" s="1"/>
  <c r="U23" i="14" a="1"/>
  <c r="U23" i="14" s="1"/>
  <c r="AF23" i="14" s="1" a="1"/>
  <c r="AF23" i="14" s="1"/>
  <c r="T23" i="14" a="1"/>
  <c r="T23" i="14" s="1"/>
  <c r="AE23" i="14" s="1" a="1"/>
  <c r="AE23" i="14" s="1"/>
  <c r="S23" i="14" a="1"/>
  <c r="S23" i="14" s="1"/>
  <c r="AD23" i="14" s="1" a="1"/>
  <c r="AD23" i="14" s="1"/>
  <c r="R23" i="14" a="1"/>
  <c r="R23" i="14" s="1"/>
  <c r="AC23" i="14" s="1" a="1"/>
  <c r="AC23" i="14" s="1"/>
  <c r="Q23" i="14" a="1"/>
  <c r="Q23" i="14" s="1"/>
  <c r="AB23" i="14" s="1" a="1"/>
  <c r="AB23" i="14" s="1"/>
  <c r="P23" i="14" a="1"/>
  <c r="P23" i="14" s="1"/>
  <c r="AA23" i="14" s="1" a="1"/>
  <c r="AA23" i="14" s="1"/>
  <c r="O23" i="14" a="1"/>
  <c r="O23" i="14" s="1"/>
  <c r="Z23" i="14" s="1" a="1"/>
  <c r="Z23" i="14" s="1"/>
  <c r="N23" i="14" a="1"/>
  <c r="N23" i="14" s="1"/>
  <c r="M23" i="14" a="1"/>
  <c r="M23" i="14" s="1"/>
  <c r="L23" i="14" a="1"/>
  <c r="L23" i="14" s="1"/>
  <c r="E23" i="14" a="1"/>
  <c r="E23" i="14" s="1"/>
  <c r="V22" i="14" a="1"/>
  <c r="V22" i="14" s="1"/>
  <c r="AG22" i="14" s="1" a="1"/>
  <c r="AG22" i="14" s="1"/>
  <c r="U22" i="14" a="1"/>
  <c r="U22" i="14" s="1"/>
  <c r="AF22" i="14" s="1" a="1"/>
  <c r="AF22" i="14" s="1"/>
  <c r="T22" i="14" a="1"/>
  <c r="T22" i="14" s="1"/>
  <c r="AE22" i="14" s="1" a="1"/>
  <c r="AE22" i="14" s="1"/>
  <c r="S22" i="14" a="1"/>
  <c r="S22" i="14" s="1"/>
  <c r="AD22" i="14" s="1" a="1"/>
  <c r="AD22" i="14" s="1"/>
  <c r="R22" i="14" a="1"/>
  <c r="R22" i="14" s="1"/>
  <c r="AC22" i="14" s="1" a="1"/>
  <c r="AC22" i="14" s="1"/>
  <c r="Q22" i="14" a="1"/>
  <c r="Q22" i="14" s="1"/>
  <c r="AB22" i="14" s="1" a="1"/>
  <c r="AB22" i="14" s="1"/>
  <c r="P22" i="14" a="1"/>
  <c r="P22" i="14" s="1"/>
  <c r="AA22" i="14" s="1" a="1"/>
  <c r="AA22" i="14" s="1"/>
  <c r="O22" i="14" a="1"/>
  <c r="O22" i="14" s="1"/>
  <c r="Z22" i="14" s="1" a="1"/>
  <c r="Z22" i="14" s="1"/>
  <c r="N22" i="14" a="1"/>
  <c r="N22" i="14" s="1"/>
  <c r="M22" i="14" a="1"/>
  <c r="M22" i="14" s="1"/>
  <c r="L22" i="14" a="1"/>
  <c r="L22" i="14" s="1"/>
  <c r="E22" i="14" a="1"/>
  <c r="E22" i="14" s="1"/>
  <c r="V21" i="14" a="1"/>
  <c r="V21" i="14" s="1"/>
  <c r="AG21" i="14" s="1" a="1"/>
  <c r="AG21" i="14" s="1"/>
  <c r="U21" i="14" a="1"/>
  <c r="U21" i="14" s="1"/>
  <c r="AF21" i="14" s="1" a="1"/>
  <c r="AF21" i="14" s="1"/>
  <c r="T21" i="14" a="1"/>
  <c r="T21" i="14" s="1"/>
  <c r="AE21" i="14" s="1" a="1"/>
  <c r="AE21" i="14" s="1"/>
  <c r="S21" i="14" a="1"/>
  <c r="S21" i="14" s="1"/>
  <c r="AD21" i="14" s="1" a="1"/>
  <c r="AD21" i="14" s="1"/>
  <c r="R21" i="14" a="1"/>
  <c r="R21" i="14" s="1"/>
  <c r="AC21" i="14" s="1" a="1"/>
  <c r="AC21" i="14" s="1"/>
  <c r="Q21" i="14" a="1"/>
  <c r="Q21" i="14" s="1"/>
  <c r="AB21" i="14" s="1" a="1"/>
  <c r="AB21" i="14" s="1"/>
  <c r="P21" i="14" a="1"/>
  <c r="P21" i="14" s="1"/>
  <c r="AA21" i="14" s="1" a="1"/>
  <c r="AA21" i="14" s="1"/>
  <c r="O21" i="14" a="1"/>
  <c r="O21" i="14" s="1"/>
  <c r="Z21" i="14" s="1" a="1"/>
  <c r="Z21" i="14" s="1"/>
  <c r="N21" i="14" a="1"/>
  <c r="N21" i="14" s="1"/>
  <c r="M21" i="14" a="1"/>
  <c r="M21" i="14" s="1"/>
  <c r="L21" i="14" a="1"/>
  <c r="L21" i="14" s="1"/>
  <c r="E21" i="14" a="1"/>
  <c r="E21" i="14" s="1"/>
  <c r="V20" i="14" a="1"/>
  <c r="V20" i="14" s="1"/>
  <c r="AG20" i="14" s="1" a="1"/>
  <c r="AG20" i="14" s="1"/>
  <c r="U20" i="14" a="1"/>
  <c r="U20" i="14" s="1"/>
  <c r="AF20" i="14" s="1" a="1"/>
  <c r="AF20" i="14" s="1"/>
  <c r="T20" i="14" a="1"/>
  <c r="T20" i="14" s="1"/>
  <c r="AE20" i="14" s="1" a="1"/>
  <c r="AE20" i="14" s="1"/>
  <c r="S20" i="14" a="1"/>
  <c r="S20" i="14" s="1"/>
  <c r="AD20" i="14" s="1" a="1"/>
  <c r="AD20" i="14" s="1"/>
  <c r="R20" i="14" a="1"/>
  <c r="R20" i="14" s="1"/>
  <c r="AC20" i="14" s="1" a="1"/>
  <c r="AC20" i="14" s="1"/>
  <c r="Q20" i="14" a="1"/>
  <c r="Q20" i="14" s="1"/>
  <c r="AB20" i="14" s="1" a="1"/>
  <c r="AB20" i="14" s="1"/>
  <c r="P20" i="14" a="1"/>
  <c r="P20" i="14" s="1"/>
  <c r="AA20" i="14" s="1" a="1"/>
  <c r="AA20" i="14" s="1"/>
  <c r="O20" i="14" a="1"/>
  <c r="O20" i="14" s="1"/>
  <c r="Z20" i="14" s="1" a="1"/>
  <c r="Z20" i="14" s="1"/>
  <c r="N20" i="14" a="1"/>
  <c r="N20" i="14" s="1"/>
  <c r="M20" i="14" a="1"/>
  <c r="M20" i="14" s="1"/>
  <c r="L20" i="14" a="1"/>
  <c r="L20" i="14" s="1"/>
  <c r="E20" i="14" a="1"/>
  <c r="E20" i="14" s="1"/>
  <c r="X23" i="1" a="1"/>
  <c r="X23" i="1" s="1"/>
  <c r="AI23" i="1" s="1" a="1"/>
  <c r="AI23" i="1" s="1"/>
  <c r="W23" i="1" a="1"/>
  <c r="W23" i="1" s="1"/>
  <c r="AH23" i="1" s="1" a="1"/>
  <c r="AH23" i="1" s="1"/>
  <c r="V23" i="1" a="1"/>
  <c r="V23" i="1" s="1"/>
  <c r="AG23" i="1" s="1" a="1"/>
  <c r="AG23" i="1" s="1"/>
  <c r="U23" i="1" a="1"/>
  <c r="U23" i="1" s="1"/>
  <c r="AF23" i="1" s="1" a="1"/>
  <c r="AF23" i="1" s="1"/>
  <c r="T23" i="1" a="1"/>
  <c r="T23" i="1" s="1"/>
  <c r="AE23" i="1" s="1" a="1"/>
  <c r="AE23" i="1" s="1"/>
  <c r="S23" i="1" a="1"/>
  <c r="S23" i="1" s="1"/>
  <c r="AD23" i="1" s="1" a="1"/>
  <c r="AD23" i="1" s="1"/>
  <c r="R23" i="1" a="1"/>
  <c r="R23" i="1" s="1"/>
  <c r="AC23" i="1" s="1" a="1"/>
  <c r="AC23" i="1" s="1"/>
  <c r="Q23" i="1" a="1"/>
  <c r="Q23" i="1" s="1"/>
  <c r="P23" i="1" a="1"/>
  <c r="P23" i="1" s="1"/>
  <c r="O23" i="1" a="1"/>
  <c r="O23" i="1" s="1"/>
  <c r="N23" i="1" a="1"/>
  <c r="N23" i="1" s="1"/>
  <c r="G23" i="1" a="1"/>
  <c r="G23" i="1" s="1"/>
  <c r="V14" i="14" a="1"/>
  <c r="V14" i="14" s="1"/>
  <c r="V15" i="14" a="1"/>
  <c r="V15" i="14" s="1"/>
  <c r="V16" i="14" a="1"/>
  <c r="V16" i="14" s="1"/>
  <c r="V17" i="14" a="1"/>
  <c r="V17" i="14" s="1"/>
  <c r="V18" i="14" a="1"/>
  <c r="V18" i="14" s="1"/>
  <c r="V19" i="14" a="1"/>
  <c r="V19" i="14" s="1"/>
  <c r="V25" i="14" a="1"/>
  <c r="V25" i="14" s="1"/>
  <c r="V26" i="14" a="1"/>
  <c r="V26" i="14" s="1"/>
  <c r="V27" i="14" a="1"/>
  <c r="V27" i="14" s="1"/>
  <c r="V28" i="14" a="1"/>
  <c r="V28" i="14" s="1"/>
  <c r="V29" i="14" a="1"/>
  <c r="V29" i="14" s="1"/>
  <c r="V30" i="14" a="1"/>
  <c r="V30" i="14" s="1"/>
  <c r="V31" i="14" a="1"/>
  <c r="V31" i="14" s="1"/>
  <c r="V32" i="14" a="1"/>
  <c r="V32" i="14" s="1"/>
  <c r="V33" i="14" a="1"/>
  <c r="V33" i="14" s="1"/>
  <c r="V34" i="14" a="1"/>
  <c r="V34" i="14" s="1"/>
  <c r="V35" i="14" a="1"/>
  <c r="V35" i="14" s="1"/>
  <c r="V36" i="14" a="1"/>
  <c r="V36" i="14" s="1"/>
  <c r="V37" i="14" a="1"/>
  <c r="V37" i="14" s="1"/>
  <c r="V38" i="14" a="1"/>
  <c r="V38" i="14" s="1"/>
  <c r="V39" i="14" a="1"/>
  <c r="V39" i="14" s="1"/>
  <c r="V40" i="14" a="1"/>
  <c r="V40" i="14" s="1"/>
  <c r="V47" i="14" a="1"/>
  <c r="V47" i="14" s="1"/>
  <c r="V48" i="14" a="1"/>
  <c r="V48" i="14" s="1"/>
  <c r="V49" i="14" a="1"/>
  <c r="V49" i="14" s="1"/>
  <c r="V50" i="14" a="1"/>
  <c r="V50" i="14" s="1"/>
  <c r="V51" i="14" a="1"/>
  <c r="V51" i="14" s="1"/>
  <c r="V52" i="14" a="1"/>
  <c r="V52" i="14" s="1"/>
  <c r="V53" i="14" a="1"/>
  <c r="V53" i="14" s="1"/>
  <c r="V54" i="14" a="1"/>
  <c r="V54" i="14" s="1"/>
  <c r="V55" i="14" a="1"/>
  <c r="V55" i="14" s="1"/>
  <c r="V56" i="14" a="1"/>
  <c r="V56" i="14" s="1"/>
  <c r="V57" i="14" a="1"/>
  <c r="V57" i="14" s="1"/>
  <c r="V58" i="14" a="1"/>
  <c r="V58" i="14" s="1"/>
  <c r="V59" i="14" a="1"/>
  <c r="V59" i="14" s="1"/>
  <c r="V60" i="14" a="1"/>
  <c r="V60" i="14" s="1"/>
  <c r="V61" i="14" a="1"/>
  <c r="V61" i="14" s="1"/>
  <c r="V62" i="14" a="1"/>
  <c r="V62" i="14" s="1"/>
  <c r="V63" i="14" a="1"/>
  <c r="V63" i="14" s="1"/>
  <c r="V64" i="14" a="1"/>
  <c r="V64" i="14" s="1"/>
  <c r="U14" i="14" a="1"/>
  <c r="U14" i="14" s="1"/>
  <c r="U15" i="14" a="1"/>
  <c r="U15" i="14" s="1"/>
  <c r="U16" i="14" a="1"/>
  <c r="U16" i="14" s="1"/>
  <c r="U17" i="14" a="1"/>
  <c r="U17" i="14" s="1"/>
  <c r="U18" i="14" a="1"/>
  <c r="U18" i="14" s="1"/>
  <c r="U19" i="14" a="1"/>
  <c r="U19" i="14" s="1"/>
  <c r="U25" i="14" a="1"/>
  <c r="U25" i="14" s="1"/>
  <c r="U26" i="14" a="1"/>
  <c r="U26" i="14" s="1"/>
  <c r="U27" i="14" a="1"/>
  <c r="U27" i="14" s="1"/>
  <c r="U28" i="14" a="1"/>
  <c r="U28" i="14" s="1"/>
  <c r="U29" i="14" a="1"/>
  <c r="U29" i="14" s="1"/>
  <c r="U30" i="14" a="1"/>
  <c r="U30" i="14" s="1"/>
  <c r="U31" i="14" a="1"/>
  <c r="U31" i="14" s="1"/>
  <c r="U32" i="14" a="1"/>
  <c r="U32" i="14" s="1"/>
  <c r="U33" i="14" a="1"/>
  <c r="U33" i="14" s="1"/>
  <c r="U34" i="14" a="1"/>
  <c r="U34" i="14" s="1"/>
  <c r="U35" i="14" a="1"/>
  <c r="U35" i="14" s="1"/>
  <c r="U36" i="14" a="1"/>
  <c r="U36" i="14" s="1"/>
  <c r="U37" i="14" a="1"/>
  <c r="U37" i="14" s="1"/>
  <c r="U38" i="14" a="1"/>
  <c r="U38" i="14" s="1"/>
  <c r="U39" i="14" a="1"/>
  <c r="U39" i="14" s="1"/>
  <c r="U40" i="14" a="1"/>
  <c r="U40" i="14" s="1"/>
  <c r="U47" i="14" a="1"/>
  <c r="U47" i="14" s="1"/>
  <c r="U48" i="14" a="1"/>
  <c r="U48" i="14" s="1"/>
  <c r="U49" i="14" a="1"/>
  <c r="U49" i="14" s="1"/>
  <c r="U50" i="14" a="1"/>
  <c r="U50" i="14" s="1"/>
  <c r="U51" i="14" a="1"/>
  <c r="U51" i="14" s="1"/>
  <c r="U52" i="14" a="1"/>
  <c r="U52" i="14" s="1"/>
  <c r="U53" i="14" a="1"/>
  <c r="U53" i="14" s="1"/>
  <c r="U54" i="14" a="1"/>
  <c r="U54" i="14" s="1"/>
  <c r="U55" i="14" a="1"/>
  <c r="U55" i="14" s="1"/>
  <c r="U56" i="14" a="1"/>
  <c r="U56" i="14" s="1"/>
  <c r="U57" i="14" a="1"/>
  <c r="U57" i="14" s="1"/>
  <c r="U58" i="14" a="1"/>
  <c r="U58" i="14" s="1"/>
  <c r="U59" i="14" a="1"/>
  <c r="U59" i="14" s="1"/>
  <c r="U60" i="14" a="1"/>
  <c r="U60" i="14" s="1"/>
  <c r="U61" i="14" a="1"/>
  <c r="U61" i="14" s="1"/>
  <c r="U62" i="14" a="1"/>
  <c r="U62" i="14" s="1"/>
  <c r="U63" i="14" a="1"/>
  <c r="U63" i="14" s="1"/>
  <c r="U64" i="14" a="1"/>
  <c r="U64" i="14" s="1"/>
  <c r="T14" i="14" a="1"/>
  <c r="T14" i="14" s="1"/>
  <c r="T15" i="14" a="1"/>
  <c r="T15" i="14" s="1"/>
  <c r="T16" i="14" a="1"/>
  <c r="T16" i="14" s="1"/>
  <c r="T17" i="14" a="1"/>
  <c r="T17" i="14" s="1"/>
  <c r="T18" i="14" a="1"/>
  <c r="T18" i="14" s="1"/>
  <c r="T19" i="14" a="1"/>
  <c r="T19" i="14" s="1"/>
  <c r="T25" i="14" a="1"/>
  <c r="T25" i="14" s="1"/>
  <c r="T26" i="14" a="1"/>
  <c r="T26" i="14" s="1"/>
  <c r="T27" i="14" a="1"/>
  <c r="T27" i="14" s="1"/>
  <c r="T28" i="14" a="1"/>
  <c r="T28" i="14" s="1"/>
  <c r="T29" i="14" a="1"/>
  <c r="T29" i="14" s="1"/>
  <c r="T30" i="14" a="1"/>
  <c r="T30" i="14" s="1"/>
  <c r="T31" i="14" a="1"/>
  <c r="T31" i="14" s="1"/>
  <c r="T32" i="14" a="1"/>
  <c r="T32" i="14" s="1"/>
  <c r="T33" i="14" a="1"/>
  <c r="T33" i="14" s="1"/>
  <c r="T34" i="14" a="1"/>
  <c r="T34" i="14" s="1"/>
  <c r="T35" i="14" a="1"/>
  <c r="T35" i="14" s="1"/>
  <c r="T36" i="14" a="1"/>
  <c r="T36" i="14" s="1"/>
  <c r="T37" i="14" a="1"/>
  <c r="T37" i="14" s="1"/>
  <c r="T38" i="14" a="1"/>
  <c r="T38" i="14" s="1"/>
  <c r="T39" i="14" a="1"/>
  <c r="T39" i="14" s="1"/>
  <c r="T40" i="14" a="1"/>
  <c r="T40" i="14" s="1"/>
  <c r="T47" i="14" a="1"/>
  <c r="T47" i="14" s="1"/>
  <c r="T48" i="14" a="1"/>
  <c r="T48" i="14" s="1"/>
  <c r="T49" i="14" a="1"/>
  <c r="T49" i="14" s="1"/>
  <c r="T50" i="14" a="1"/>
  <c r="T50" i="14" s="1"/>
  <c r="T51" i="14" a="1"/>
  <c r="T51" i="14" s="1"/>
  <c r="T52" i="14" a="1"/>
  <c r="T52" i="14" s="1"/>
  <c r="T53" i="14" a="1"/>
  <c r="T53" i="14" s="1"/>
  <c r="T54" i="14" a="1"/>
  <c r="T54" i="14" s="1"/>
  <c r="T55" i="14" a="1"/>
  <c r="T55" i="14" s="1"/>
  <c r="T56" i="14" a="1"/>
  <c r="T56" i="14" s="1"/>
  <c r="T57" i="14" a="1"/>
  <c r="T57" i="14" s="1"/>
  <c r="T58" i="14" a="1"/>
  <c r="T58" i="14" s="1"/>
  <c r="T59" i="14" a="1"/>
  <c r="T59" i="14" s="1"/>
  <c r="T60" i="14" a="1"/>
  <c r="T60" i="14" s="1"/>
  <c r="T61" i="14" a="1"/>
  <c r="T61" i="14" s="1"/>
  <c r="T62" i="14" a="1"/>
  <c r="T62" i="14" s="1"/>
  <c r="T63" i="14" a="1"/>
  <c r="T63" i="14" s="1"/>
  <c r="T64" i="14" a="1"/>
  <c r="T64" i="14" s="1"/>
  <c r="S14" i="14" a="1"/>
  <c r="S14" i="14" s="1"/>
  <c r="S15" i="14" a="1"/>
  <c r="S15" i="14" s="1"/>
  <c r="S16" i="14" a="1"/>
  <c r="S16" i="14" s="1"/>
  <c r="S17" i="14" a="1"/>
  <c r="S17" i="14" s="1"/>
  <c r="S18" i="14" a="1"/>
  <c r="S18" i="14" s="1"/>
  <c r="S19" i="14" a="1"/>
  <c r="S19" i="14" s="1"/>
  <c r="S25" i="14" a="1"/>
  <c r="S25" i="14" s="1"/>
  <c r="S26" i="14" a="1"/>
  <c r="S26" i="14" s="1"/>
  <c r="S27" i="14" a="1"/>
  <c r="S27" i="14" s="1"/>
  <c r="S28" i="14" a="1"/>
  <c r="S28" i="14" s="1"/>
  <c r="S29" i="14" a="1"/>
  <c r="S29" i="14" s="1"/>
  <c r="S30" i="14" a="1"/>
  <c r="S30" i="14" s="1"/>
  <c r="S31" i="14" a="1"/>
  <c r="S31" i="14" s="1"/>
  <c r="S32" i="14" a="1"/>
  <c r="S32" i="14" s="1"/>
  <c r="S33" i="14" a="1"/>
  <c r="S33" i="14" s="1"/>
  <c r="S34" i="14" a="1"/>
  <c r="S34" i="14" s="1"/>
  <c r="S35" i="14" a="1"/>
  <c r="S35" i="14" s="1"/>
  <c r="S36" i="14" a="1"/>
  <c r="S36" i="14" s="1"/>
  <c r="S37" i="14" a="1"/>
  <c r="S37" i="14" s="1"/>
  <c r="S38" i="14" a="1"/>
  <c r="S38" i="14" s="1"/>
  <c r="S39" i="14" a="1"/>
  <c r="S39" i="14" s="1"/>
  <c r="S40" i="14" a="1"/>
  <c r="S40" i="14" s="1"/>
  <c r="S47" i="14" a="1"/>
  <c r="S47" i="14" s="1"/>
  <c r="S48" i="14" a="1"/>
  <c r="S48" i="14" s="1"/>
  <c r="S49" i="14" a="1"/>
  <c r="S49" i="14" s="1"/>
  <c r="S50" i="14" a="1"/>
  <c r="S50" i="14" s="1"/>
  <c r="S51" i="14" a="1"/>
  <c r="S51" i="14" s="1"/>
  <c r="S52" i="14" a="1"/>
  <c r="S52" i="14" s="1"/>
  <c r="S53" i="14" a="1"/>
  <c r="S53" i="14" s="1"/>
  <c r="S54" i="14" a="1"/>
  <c r="S54" i="14" s="1"/>
  <c r="S55" i="14" a="1"/>
  <c r="S55" i="14" s="1"/>
  <c r="S56" i="14" a="1"/>
  <c r="S56" i="14" s="1"/>
  <c r="S57" i="14" a="1"/>
  <c r="S57" i="14" s="1"/>
  <c r="S58" i="14" a="1"/>
  <c r="S58" i="14" s="1"/>
  <c r="S59" i="14" a="1"/>
  <c r="S59" i="14" s="1"/>
  <c r="S60" i="14" a="1"/>
  <c r="S60" i="14" s="1"/>
  <c r="S61" i="14" a="1"/>
  <c r="S61" i="14" s="1"/>
  <c r="S62" i="14" a="1"/>
  <c r="S62" i="14" s="1"/>
  <c r="S63" i="14" a="1"/>
  <c r="S63" i="14" s="1"/>
  <c r="S64" i="14" a="1"/>
  <c r="S64" i="14" s="1"/>
  <c r="R14" i="14" a="1"/>
  <c r="R14" i="14" s="1"/>
  <c r="R15" i="14" a="1"/>
  <c r="R15" i="14" s="1"/>
  <c r="R16" i="14" a="1"/>
  <c r="R16" i="14" s="1"/>
  <c r="R17" i="14" a="1"/>
  <c r="R17" i="14" s="1"/>
  <c r="R18" i="14" a="1"/>
  <c r="R18" i="14" s="1"/>
  <c r="R19" i="14" a="1"/>
  <c r="R19" i="14" s="1"/>
  <c r="R25" i="14" a="1"/>
  <c r="R25" i="14" s="1"/>
  <c r="R26" i="14" a="1"/>
  <c r="R26" i="14" s="1"/>
  <c r="R27" i="14" a="1"/>
  <c r="R27" i="14" s="1"/>
  <c r="R28" i="14" a="1"/>
  <c r="R28" i="14" s="1"/>
  <c r="R29" i="14" a="1"/>
  <c r="R29" i="14" s="1"/>
  <c r="R30" i="14" a="1"/>
  <c r="R30" i="14" s="1"/>
  <c r="R31" i="14" a="1"/>
  <c r="R31" i="14" s="1"/>
  <c r="R32" i="14" a="1"/>
  <c r="R32" i="14" s="1"/>
  <c r="R33" i="14" a="1"/>
  <c r="R33" i="14" s="1"/>
  <c r="R34" i="14" a="1"/>
  <c r="R34" i="14" s="1"/>
  <c r="R35" i="14" a="1"/>
  <c r="R35" i="14" s="1"/>
  <c r="R36" i="14" a="1"/>
  <c r="R36" i="14" s="1"/>
  <c r="R37" i="14" a="1"/>
  <c r="R37" i="14" s="1"/>
  <c r="R38" i="14" a="1"/>
  <c r="R38" i="14" s="1"/>
  <c r="R39" i="14" a="1"/>
  <c r="R39" i="14" s="1"/>
  <c r="R40" i="14" a="1"/>
  <c r="R40" i="14" s="1"/>
  <c r="R47" i="14" a="1"/>
  <c r="R47" i="14" s="1"/>
  <c r="R48" i="14" a="1"/>
  <c r="R48" i="14" s="1"/>
  <c r="R49" i="14" a="1"/>
  <c r="R49" i="14" s="1"/>
  <c r="R50" i="14" a="1"/>
  <c r="R50" i="14" s="1"/>
  <c r="R51" i="14" a="1"/>
  <c r="R51" i="14" s="1"/>
  <c r="R52" i="14" a="1"/>
  <c r="R52" i="14" s="1"/>
  <c r="R53" i="14" a="1"/>
  <c r="R53" i="14" s="1"/>
  <c r="R54" i="14" a="1"/>
  <c r="R54" i="14" s="1"/>
  <c r="R55" i="14" a="1"/>
  <c r="R55" i="14" s="1"/>
  <c r="R56" i="14" a="1"/>
  <c r="R56" i="14" s="1"/>
  <c r="R57" i="14" a="1"/>
  <c r="R57" i="14" s="1"/>
  <c r="R58" i="14" a="1"/>
  <c r="R58" i="14" s="1"/>
  <c r="R59" i="14" a="1"/>
  <c r="R59" i="14" s="1"/>
  <c r="R60" i="14" a="1"/>
  <c r="R60" i="14" s="1"/>
  <c r="R61" i="14" a="1"/>
  <c r="R61" i="14" s="1"/>
  <c r="R62" i="14" a="1"/>
  <c r="R62" i="14" s="1"/>
  <c r="R63" i="14" a="1"/>
  <c r="R63" i="14" s="1"/>
  <c r="R64" i="14" a="1"/>
  <c r="R64" i="14" s="1"/>
  <c r="Q14" i="14" a="1"/>
  <c r="Q14" i="14" s="1"/>
  <c r="Q15" i="14" a="1"/>
  <c r="Q15" i="14" s="1"/>
  <c r="Q16" i="14" a="1"/>
  <c r="Q16" i="14" s="1"/>
  <c r="Q17" i="14" a="1"/>
  <c r="Q17" i="14" s="1"/>
  <c r="Q18" i="14" a="1"/>
  <c r="Q18" i="14" s="1"/>
  <c r="Q19" i="14" a="1"/>
  <c r="Q19" i="14" s="1"/>
  <c r="Q25" i="14" a="1"/>
  <c r="Q25" i="14" s="1"/>
  <c r="Q26" i="14" a="1"/>
  <c r="Q26" i="14" s="1"/>
  <c r="Q27" i="14" a="1"/>
  <c r="Q27" i="14" s="1"/>
  <c r="Q28" i="14" a="1"/>
  <c r="Q28" i="14" s="1"/>
  <c r="Q29" i="14" a="1"/>
  <c r="Q29" i="14" s="1"/>
  <c r="Q30" i="14" a="1"/>
  <c r="Q30" i="14" s="1"/>
  <c r="Q31" i="14" a="1"/>
  <c r="Q31" i="14" s="1"/>
  <c r="Q32" i="14" a="1"/>
  <c r="Q32" i="14" s="1"/>
  <c r="Q33" i="14" a="1"/>
  <c r="Q33" i="14" s="1"/>
  <c r="Q34" i="14" a="1"/>
  <c r="Q34" i="14" s="1"/>
  <c r="Q35" i="14" a="1"/>
  <c r="Q35" i="14" s="1"/>
  <c r="Q36" i="14" a="1"/>
  <c r="Q36" i="14" s="1"/>
  <c r="Q37" i="14" a="1"/>
  <c r="Q37" i="14" s="1"/>
  <c r="Q38" i="14" a="1"/>
  <c r="Q38" i="14" s="1"/>
  <c r="Q39" i="14" a="1"/>
  <c r="Q39" i="14" s="1"/>
  <c r="Q40" i="14" a="1"/>
  <c r="Q40" i="14" s="1"/>
  <c r="Q47" i="14" a="1"/>
  <c r="Q47" i="14" s="1"/>
  <c r="Q48" i="14" a="1"/>
  <c r="Q48" i="14" s="1"/>
  <c r="Q49" i="14" a="1"/>
  <c r="Q49" i="14" s="1"/>
  <c r="Q50" i="14" a="1"/>
  <c r="Q50" i="14" s="1"/>
  <c r="Q51" i="14" a="1"/>
  <c r="Q51" i="14" s="1"/>
  <c r="Q52" i="14" a="1"/>
  <c r="Q52" i="14" s="1"/>
  <c r="Q53" i="14" a="1"/>
  <c r="Q53" i="14" s="1"/>
  <c r="Q54" i="14" a="1"/>
  <c r="Q54" i="14" s="1"/>
  <c r="Q55" i="14" a="1"/>
  <c r="Q55" i="14" s="1"/>
  <c r="Q56" i="14" a="1"/>
  <c r="Q56" i="14" s="1"/>
  <c r="Q57" i="14" a="1"/>
  <c r="Q57" i="14" s="1"/>
  <c r="Q58" i="14" a="1"/>
  <c r="Q58" i="14" s="1"/>
  <c r="Q59" i="14" a="1"/>
  <c r="Q59" i="14" s="1"/>
  <c r="Q60" i="14" a="1"/>
  <c r="Q60" i="14" s="1"/>
  <c r="Q61" i="14" a="1"/>
  <c r="Q61" i="14" s="1"/>
  <c r="Q62" i="14" a="1"/>
  <c r="Q62" i="14" s="1"/>
  <c r="Q63" i="14" a="1"/>
  <c r="Q63" i="14" s="1"/>
  <c r="Q64" i="14" a="1"/>
  <c r="Q64" i="14" s="1"/>
  <c r="P14" i="14" a="1"/>
  <c r="P14" i="14" s="1"/>
  <c r="P15" i="14" a="1"/>
  <c r="P15" i="14" s="1"/>
  <c r="P16" i="14" a="1"/>
  <c r="P16" i="14" s="1"/>
  <c r="P17" i="14" a="1"/>
  <c r="P17" i="14" s="1"/>
  <c r="P18" i="14" a="1"/>
  <c r="P18" i="14" s="1"/>
  <c r="P19" i="14" a="1"/>
  <c r="P19" i="14" s="1"/>
  <c r="P25" i="14" a="1"/>
  <c r="P25" i="14" s="1"/>
  <c r="P26" i="14" a="1"/>
  <c r="P26" i="14" s="1"/>
  <c r="P27" i="14" a="1"/>
  <c r="P27" i="14" s="1"/>
  <c r="P28" i="14" a="1"/>
  <c r="P28" i="14" s="1"/>
  <c r="P29" i="14" a="1"/>
  <c r="P29" i="14" s="1"/>
  <c r="P30" i="14" a="1"/>
  <c r="P30" i="14" s="1"/>
  <c r="P31" i="14" a="1"/>
  <c r="P31" i="14" s="1"/>
  <c r="P32" i="14" a="1"/>
  <c r="P32" i="14" s="1"/>
  <c r="P33" i="14" a="1"/>
  <c r="P33" i="14" s="1"/>
  <c r="P34" i="14" a="1"/>
  <c r="P34" i="14" s="1"/>
  <c r="P35" i="14" a="1"/>
  <c r="P35" i="14" s="1"/>
  <c r="P36" i="14" a="1"/>
  <c r="P36" i="14" s="1"/>
  <c r="P37" i="14" a="1"/>
  <c r="P37" i="14" s="1"/>
  <c r="P38" i="14" a="1"/>
  <c r="P38" i="14" s="1"/>
  <c r="P39" i="14" a="1"/>
  <c r="P39" i="14" s="1"/>
  <c r="P40" i="14" a="1"/>
  <c r="P40" i="14" s="1"/>
  <c r="P47" i="14" a="1"/>
  <c r="P47" i="14" s="1"/>
  <c r="P48" i="14" a="1"/>
  <c r="P48" i="14" s="1"/>
  <c r="P49" i="14" a="1"/>
  <c r="P49" i="14" s="1"/>
  <c r="P50" i="14" a="1"/>
  <c r="P50" i="14" s="1"/>
  <c r="P51" i="14" a="1"/>
  <c r="P51" i="14" s="1"/>
  <c r="P52" i="14" a="1"/>
  <c r="P52" i="14" s="1"/>
  <c r="P53" i="14" a="1"/>
  <c r="P53" i="14" s="1"/>
  <c r="P54" i="14" a="1"/>
  <c r="P54" i="14" s="1"/>
  <c r="P55" i="14" a="1"/>
  <c r="P55" i="14" s="1"/>
  <c r="P56" i="14" a="1"/>
  <c r="P56" i="14" s="1"/>
  <c r="P57" i="14" a="1"/>
  <c r="P57" i="14" s="1"/>
  <c r="P58" i="14" a="1"/>
  <c r="P58" i="14" s="1"/>
  <c r="P59" i="14" a="1"/>
  <c r="P59" i="14" s="1"/>
  <c r="P60" i="14" a="1"/>
  <c r="P60" i="14" s="1"/>
  <c r="P61" i="14" a="1"/>
  <c r="P61" i="14" s="1"/>
  <c r="P62" i="14" a="1"/>
  <c r="P62" i="14" s="1"/>
  <c r="P63" i="14" a="1"/>
  <c r="P63" i="14" s="1"/>
  <c r="P64" i="14" a="1"/>
  <c r="P64" i="14" s="1"/>
  <c r="O14" i="14" a="1"/>
  <c r="O14" i="14" s="1"/>
  <c r="O15" i="14" a="1"/>
  <c r="O15" i="14" s="1"/>
  <c r="O16" i="14" a="1"/>
  <c r="O16" i="14" s="1"/>
  <c r="O17" i="14" a="1"/>
  <c r="O17" i="14" s="1"/>
  <c r="O18" i="14" a="1"/>
  <c r="O18" i="14" s="1"/>
  <c r="O19" i="14" a="1"/>
  <c r="O19" i="14" s="1"/>
  <c r="O25" i="14" a="1"/>
  <c r="O25" i="14" s="1"/>
  <c r="O26" i="14" a="1"/>
  <c r="O26" i="14" s="1"/>
  <c r="O27" i="14" a="1"/>
  <c r="O27" i="14" s="1"/>
  <c r="O28" i="14" a="1"/>
  <c r="O28" i="14" s="1"/>
  <c r="O29" i="14" a="1"/>
  <c r="O29" i="14" s="1"/>
  <c r="O30" i="14" a="1"/>
  <c r="O30" i="14" s="1"/>
  <c r="O31" i="14" a="1"/>
  <c r="O31" i="14" s="1"/>
  <c r="O32" i="14" a="1"/>
  <c r="O32" i="14" s="1"/>
  <c r="O33" i="14" a="1"/>
  <c r="O33" i="14" s="1"/>
  <c r="O34" i="14" a="1"/>
  <c r="O34" i="14" s="1"/>
  <c r="O35" i="14" a="1"/>
  <c r="O35" i="14" s="1"/>
  <c r="O36" i="14" a="1"/>
  <c r="O36" i="14" s="1"/>
  <c r="O37" i="14" a="1"/>
  <c r="O37" i="14" s="1"/>
  <c r="O38" i="14" a="1"/>
  <c r="O38" i="14" s="1"/>
  <c r="O39" i="14" a="1"/>
  <c r="O39" i="14" s="1"/>
  <c r="O40" i="14" a="1"/>
  <c r="O40" i="14" s="1"/>
  <c r="O47" i="14" a="1"/>
  <c r="O47" i="14" s="1"/>
  <c r="O48" i="14" a="1"/>
  <c r="O48" i="14" s="1"/>
  <c r="O49" i="14" a="1"/>
  <c r="O49" i="14" s="1"/>
  <c r="O50" i="14" a="1"/>
  <c r="O50" i="14" s="1"/>
  <c r="O51" i="14" a="1"/>
  <c r="O51" i="14" s="1"/>
  <c r="O52" i="14" a="1"/>
  <c r="O52" i="14" s="1"/>
  <c r="O53" i="14" a="1"/>
  <c r="O53" i="14" s="1"/>
  <c r="O54" i="14" a="1"/>
  <c r="O54" i="14" s="1"/>
  <c r="O55" i="14" a="1"/>
  <c r="O55" i="14" s="1"/>
  <c r="O56" i="14" a="1"/>
  <c r="O56" i="14" s="1"/>
  <c r="O57" i="14" a="1"/>
  <c r="O57" i="14" s="1"/>
  <c r="O58" i="14" a="1"/>
  <c r="O58" i="14" s="1"/>
  <c r="O59" i="14" a="1"/>
  <c r="O59" i="14" s="1"/>
  <c r="O60" i="14" a="1"/>
  <c r="O60" i="14" s="1"/>
  <c r="O61" i="14" a="1"/>
  <c r="O61" i="14" s="1"/>
  <c r="O62" i="14" a="1"/>
  <c r="O62" i="14" s="1"/>
  <c r="O63" i="14" a="1"/>
  <c r="O63" i="14" s="1"/>
  <c r="O64" i="14" a="1"/>
  <c r="O64" i="14" s="1"/>
  <c r="N14" i="14" a="1"/>
  <c r="N14" i="14" s="1"/>
  <c r="N15" i="14" a="1"/>
  <c r="N15" i="14" s="1"/>
  <c r="N16" i="14" a="1"/>
  <c r="N16" i="14" s="1"/>
  <c r="N17" i="14" a="1"/>
  <c r="N17" i="14" s="1"/>
  <c r="N18" i="14" a="1"/>
  <c r="N18" i="14" s="1"/>
  <c r="N19" i="14" a="1"/>
  <c r="N19" i="14" s="1"/>
  <c r="N25" i="14" a="1"/>
  <c r="N25" i="14" s="1"/>
  <c r="N26" i="14" a="1"/>
  <c r="N26" i="14" s="1"/>
  <c r="N27" i="14" a="1"/>
  <c r="N27" i="14" s="1"/>
  <c r="N28" i="14" a="1"/>
  <c r="N28" i="14" s="1"/>
  <c r="N29" i="14" a="1"/>
  <c r="N29" i="14" s="1"/>
  <c r="N30" i="14" a="1"/>
  <c r="N30" i="14" s="1"/>
  <c r="N31" i="14" a="1"/>
  <c r="N31" i="14" s="1"/>
  <c r="N32" i="14" a="1"/>
  <c r="N32" i="14" s="1"/>
  <c r="N33" i="14" a="1"/>
  <c r="N33" i="14" s="1"/>
  <c r="N34" i="14" a="1"/>
  <c r="N34" i="14" s="1"/>
  <c r="N35" i="14" a="1"/>
  <c r="N35" i="14" s="1"/>
  <c r="N36" i="14" a="1"/>
  <c r="N36" i="14" s="1"/>
  <c r="N37" i="14" a="1"/>
  <c r="N37" i="14" s="1"/>
  <c r="N38" i="14" a="1"/>
  <c r="N38" i="14" s="1"/>
  <c r="N39" i="14" a="1"/>
  <c r="N39" i="14" s="1"/>
  <c r="N40" i="14" a="1"/>
  <c r="N40" i="14" s="1"/>
  <c r="N47" i="14" a="1"/>
  <c r="N47" i="14" s="1"/>
  <c r="N48" i="14" a="1"/>
  <c r="N48" i="14" s="1"/>
  <c r="N49" i="14" a="1"/>
  <c r="N49" i="14" s="1"/>
  <c r="N50" i="14" a="1"/>
  <c r="N50" i="14" s="1"/>
  <c r="N51" i="14" a="1"/>
  <c r="N51" i="14" s="1"/>
  <c r="N52" i="14" a="1"/>
  <c r="N52" i="14" s="1"/>
  <c r="N53" i="14" a="1"/>
  <c r="N53" i="14" s="1"/>
  <c r="N54" i="14" a="1"/>
  <c r="N54" i="14" s="1"/>
  <c r="N55" i="14" a="1"/>
  <c r="N55" i="14" s="1"/>
  <c r="N56" i="14" a="1"/>
  <c r="N56" i="14" s="1"/>
  <c r="N57" i="14" a="1"/>
  <c r="N57" i="14" s="1"/>
  <c r="N58" i="14" a="1"/>
  <c r="N58" i="14" s="1"/>
  <c r="N59" i="14" a="1"/>
  <c r="N59" i="14" s="1"/>
  <c r="N60" i="14" a="1"/>
  <c r="N60" i="14" s="1"/>
  <c r="N61" i="14" a="1"/>
  <c r="N61" i="14" s="1"/>
  <c r="N62" i="14" a="1"/>
  <c r="N62" i="14" s="1"/>
  <c r="N63" i="14" a="1"/>
  <c r="N63" i="14" s="1"/>
  <c r="N64" i="14" a="1"/>
  <c r="N64" i="14" s="1"/>
  <c r="M14" i="14" a="1"/>
  <c r="M14" i="14" s="1"/>
  <c r="M15" i="14" a="1"/>
  <c r="M15" i="14" s="1"/>
  <c r="M16" i="14" a="1"/>
  <c r="M16" i="14" s="1"/>
  <c r="M17" i="14" a="1"/>
  <c r="M17" i="14" s="1"/>
  <c r="M18" i="14" a="1"/>
  <c r="M18" i="14" s="1"/>
  <c r="M19" i="14" a="1"/>
  <c r="M19" i="14" s="1"/>
  <c r="M25" i="14" a="1"/>
  <c r="M25" i="14" s="1"/>
  <c r="M26" i="14" a="1"/>
  <c r="M26" i="14" s="1"/>
  <c r="M27" i="14" a="1"/>
  <c r="M27" i="14" s="1"/>
  <c r="M28" i="14" a="1"/>
  <c r="M28" i="14" s="1"/>
  <c r="M29" i="14" a="1"/>
  <c r="M29" i="14" s="1"/>
  <c r="M30" i="14" a="1"/>
  <c r="M30" i="14" s="1"/>
  <c r="M31" i="14" a="1"/>
  <c r="M31" i="14" s="1"/>
  <c r="M32" i="14" a="1"/>
  <c r="M32" i="14" s="1"/>
  <c r="M33" i="14" a="1"/>
  <c r="M33" i="14" s="1"/>
  <c r="M34" i="14" a="1"/>
  <c r="M34" i="14" s="1"/>
  <c r="M35" i="14" a="1"/>
  <c r="M35" i="14" s="1"/>
  <c r="M36" i="14" a="1"/>
  <c r="M36" i="14" s="1"/>
  <c r="M37" i="14" a="1"/>
  <c r="M37" i="14" s="1"/>
  <c r="M38" i="14" a="1"/>
  <c r="M38" i="14" s="1"/>
  <c r="M39" i="14" a="1"/>
  <c r="M39" i="14" s="1"/>
  <c r="M40" i="14" a="1"/>
  <c r="M40" i="14" s="1"/>
  <c r="M47" i="14" a="1"/>
  <c r="M47" i="14" s="1"/>
  <c r="M48" i="14" a="1"/>
  <c r="M48" i="14" s="1"/>
  <c r="M49" i="14" a="1"/>
  <c r="M49" i="14" s="1"/>
  <c r="M50" i="14" a="1"/>
  <c r="M50" i="14" s="1"/>
  <c r="M51" i="14" a="1"/>
  <c r="M51" i="14" s="1"/>
  <c r="M52" i="14" a="1"/>
  <c r="M52" i="14" s="1"/>
  <c r="M53" i="14" a="1"/>
  <c r="M53" i="14" s="1"/>
  <c r="M54" i="14" a="1"/>
  <c r="M54" i="14" s="1"/>
  <c r="M55" i="14" a="1"/>
  <c r="M55" i="14" s="1"/>
  <c r="M56" i="14" a="1"/>
  <c r="M56" i="14" s="1"/>
  <c r="M57" i="14" a="1"/>
  <c r="M57" i="14" s="1"/>
  <c r="M58" i="14" a="1"/>
  <c r="M58" i="14" s="1"/>
  <c r="M59" i="14" a="1"/>
  <c r="M59" i="14" s="1"/>
  <c r="M60" i="14" a="1"/>
  <c r="M60" i="14" s="1"/>
  <c r="M61" i="14" a="1"/>
  <c r="M61" i="14" s="1"/>
  <c r="M62" i="14" a="1"/>
  <c r="M62" i="14" s="1"/>
  <c r="M63" i="14" a="1"/>
  <c r="M63" i="14" s="1"/>
  <c r="M64" i="14" a="1"/>
  <c r="M64" i="14" s="1"/>
  <c r="L14" i="14" a="1"/>
  <c r="L14" i="14" s="1"/>
  <c r="L15" i="14" a="1"/>
  <c r="L15" i="14" s="1"/>
  <c r="L16" i="14" a="1"/>
  <c r="L16" i="14" s="1"/>
  <c r="L17" i="14" a="1"/>
  <c r="L17" i="14" s="1"/>
  <c r="L18" i="14" a="1"/>
  <c r="L18" i="14" s="1"/>
  <c r="L19" i="14" a="1"/>
  <c r="L19" i="14" s="1"/>
  <c r="L25" i="14" a="1"/>
  <c r="L25" i="14" s="1"/>
  <c r="L26" i="14" a="1"/>
  <c r="L26" i="14" s="1"/>
  <c r="L27" i="14" a="1"/>
  <c r="L27" i="14" s="1"/>
  <c r="L28" i="14" a="1"/>
  <c r="L28" i="14" s="1"/>
  <c r="L29" i="14" a="1"/>
  <c r="L29" i="14" s="1"/>
  <c r="L30" i="14" a="1"/>
  <c r="L30" i="14" s="1"/>
  <c r="L31" i="14" a="1"/>
  <c r="L31" i="14" s="1"/>
  <c r="L32" i="14" a="1"/>
  <c r="L32" i="14" s="1"/>
  <c r="L33" i="14" a="1"/>
  <c r="L33" i="14" s="1"/>
  <c r="L34" i="14" a="1"/>
  <c r="L34" i="14" s="1"/>
  <c r="L35" i="14" a="1"/>
  <c r="L35" i="14" s="1"/>
  <c r="L36" i="14" a="1"/>
  <c r="L36" i="14" s="1"/>
  <c r="L37" i="14" a="1"/>
  <c r="L37" i="14" s="1"/>
  <c r="L38" i="14" a="1"/>
  <c r="L38" i="14" s="1"/>
  <c r="L39" i="14" a="1"/>
  <c r="L39" i="14" s="1"/>
  <c r="L40" i="14" a="1"/>
  <c r="L40" i="14" s="1"/>
  <c r="L47" i="14" a="1"/>
  <c r="L47" i="14" s="1"/>
  <c r="L48" i="14" a="1"/>
  <c r="L48" i="14" s="1"/>
  <c r="L49" i="14" a="1"/>
  <c r="L49" i="14" s="1"/>
  <c r="L50" i="14" a="1"/>
  <c r="L50" i="14" s="1"/>
  <c r="L51" i="14" a="1"/>
  <c r="L51" i="14" s="1"/>
  <c r="L52" i="14" a="1"/>
  <c r="L52" i="14" s="1"/>
  <c r="L53" i="14" a="1"/>
  <c r="L53" i="14" s="1"/>
  <c r="L54" i="14" a="1"/>
  <c r="L54" i="14" s="1"/>
  <c r="L55" i="14" a="1"/>
  <c r="L55" i="14" s="1"/>
  <c r="L56" i="14" a="1"/>
  <c r="L56" i="14" s="1"/>
  <c r="L57" i="14" a="1"/>
  <c r="L57" i="14" s="1"/>
  <c r="L58" i="14" a="1"/>
  <c r="L58" i="14" s="1"/>
  <c r="L59" i="14" a="1"/>
  <c r="L59" i="14" s="1"/>
  <c r="L60" i="14" a="1"/>
  <c r="L60" i="14" s="1"/>
  <c r="L61" i="14" a="1"/>
  <c r="L61" i="14" s="1"/>
  <c r="L62" i="14" a="1"/>
  <c r="L62" i="14" s="1"/>
  <c r="L63" i="14" a="1"/>
  <c r="L63" i="14" s="1"/>
  <c r="L64" i="14" a="1"/>
  <c r="L64" i="14" s="1"/>
  <c r="E57" i="14" l="1" a="1"/>
  <c r="E57" i="14" s="1"/>
  <c r="E58" i="14" a="1"/>
  <c r="E58" i="14" s="1"/>
  <c r="E59" i="14" a="1"/>
  <c r="E59" i="14" s="1"/>
  <c r="E60" i="14" a="1"/>
  <c r="E60" i="14" s="1"/>
  <c r="E61" i="14" a="1"/>
  <c r="E61" i="14" s="1"/>
  <c r="E62" i="14" a="1"/>
  <c r="E62" i="14" s="1"/>
  <c r="E63" i="14" a="1"/>
  <c r="E63" i="14" s="1"/>
  <c r="Y58" i="14" a="1"/>
  <c r="Y58" i="14" s="1"/>
  <c r="Y59" i="14" a="1"/>
  <c r="Y59" i="14" s="1"/>
  <c r="Y61" i="14" a="1"/>
  <c r="Y61" i="14" s="1"/>
  <c r="Y62" i="14" a="1"/>
  <c r="Y62" i="14" s="1"/>
  <c r="Y63" i="14" a="1"/>
  <c r="Y63" i="14" s="1"/>
  <c r="Z58" i="14" a="1"/>
  <c r="Z58" i="14" s="1"/>
  <c r="Z59" i="14" a="1"/>
  <c r="Z59" i="14" s="1"/>
  <c r="Z61" i="14" a="1"/>
  <c r="Z61" i="14" s="1"/>
  <c r="Z62" i="14" a="1"/>
  <c r="Z62" i="14" s="1"/>
  <c r="Z63" i="14" a="1"/>
  <c r="Z63" i="14" s="1"/>
  <c r="AA57" i="14" a="1"/>
  <c r="AA57" i="14" s="1"/>
  <c r="AA58" i="14" a="1"/>
  <c r="AA58" i="14" s="1"/>
  <c r="AA59" i="14" a="1"/>
  <c r="AA59" i="14" s="1"/>
  <c r="AA61" i="14" a="1"/>
  <c r="AA61" i="14" s="1"/>
  <c r="AA62" i="14" a="1"/>
  <c r="AA62" i="14" s="1"/>
  <c r="AA63" i="14" a="1"/>
  <c r="AA63" i="14" s="1"/>
  <c r="AB57" i="14" a="1"/>
  <c r="AB57" i="14" s="1"/>
  <c r="AB58" i="14" a="1"/>
  <c r="AB58" i="14" s="1"/>
  <c r="AB59" i="14" a="1"/>
  <c r="AB59" i="14" s="1"/>
  <c r="AB61" i="14" a="1"/>
  <c r="AB61" i="14" s="1"/>
  <c r="AB62" i="14" a="1"/>
  <c r="AB62" i="14" s="1"/>
  <c r="AB63" i="14" a="1"/>
  <c r="AB63" i="14" s="1"/>
  <c r="AC57" i="14" a="1"/>
  <c r="AC57" i="14" s="1"/>
  <c r="AC58" i="14" a="1"/>
  <c r="AC58" i="14" s="1"/>
  <c r="AC59" i="14" a="1"/>
  <c r="AC59" i="14" s="1"/>
  <c r="AC61" i="14" a="1"/>
  <c r="AC61" i="14" s="1"/>
  <c r="AC62" i="14" a="1"/>
  <c r="AC62" i="14" s="1"/>
  <c r="AC63" i="14" a="1"/>
  <c r="AC63" i="14" s="1"/>
  <c r="AD57" i="14" a="1"/>
  <c r="AD57" i="14" s="1"/>
  <c r="AD58" i="14" a="1"/>
  <c r="AD58" i="14" s="1"/>
  <c r="AD59" i="14" a="1"/>
  <c r="AD59" i="14" s="1"/>
  <c r="AD61" i="14" a="1"/>
  <c r="AD61" i="14" s="1"/>
  <c r="AD62" i="14" a="1"/>
  <c r="AD62" i="14" s="1"/>
  <c r="AD63" i="14" a="1"/>
  <c r="AD63" i="14" s="1"/>
  <c r="AE57" i="14" a="1"/>
  <c r="AE57" i="14" s="1"/>
  <c r="AE58" i="14" a="1"/>
  <c r="AE58" i="14" s="1"/>
  <c r="AE59" i="14" a="1"/>
  <c r="AE59" i="14" s="1"/>
  <c r="AE61" i="14" a="1"/>
  <c r="AE61" i="14" s="1"/>
  <c r="AE62" i="14" a="1"/>
  <c r="AE62" i="14" s="1"/>
  <c r="AE63" i="14" a="1"/>
  <c r="AE63" i="14" s="1"/>
  <c r="AF57" i="14" a="1"/>
  <c r="AF57" i="14" s="1"/>
  <c r="AF58" i="14" a="1"/>
  <c r="AF58" i="14" s="1"/>
  <c r="AF59" i="14" a="1"/>
  <c r="AF59" i="14" s="1"/>
  <c r="AF60" i="14" a="1"/>
  <c r="AF60" i="14" s="1"/>
  <c r="AF61" i="14" a="1"/>
  <c r="AF61" i="14" s="1"/>
  <c r="AF62" i="14" a="1"/>
  <c r="AF62" i="14" s="1"/>
  <c r="AF63" i="14" a="1"/>
  <c r="AF63" i="14" s="1"/>
  <c r="AG57" i="14" a="1"/>
  <c r="AG57" i="14" s="1"/>
  <c r="AG58" i="14" a="1"/>
  <c r="AG58" i="14" s="1"/>
  <c r="AG59" i="14" a="1"/>
  <c r="AG59" i="14" s="1"/>
  <c r="AG60" i="14" a="1"/>
  <c r="AG60" i="14" s="1"/>
  <c r="AG61" i="14" a="1"/>
  <c r="AG61" i="14" s="1"/>
  <c r="AG62" i="14" a="1"/>
  <c r="AG62" i="14" s="1"/>
  <c r="AG63" i="14" a="1"/>
  <c r="AG63" i="14" s="1"/>
  <c r="AE60" i="14" l="1" a="1"/>
  <c r="AE60" i="14" s="1"/>
  <c r="AC60" i="14" a="1"/>
  <c r="AC60" i="14" s="1"/>
  <c r="AA60" i="14" a="1"/>
  <c r="AA60" i="14" s="1"/>
  <c r="Z60" i="14" a="1"/>
  <c r="Z60" i="14" s="1"/>
  <c r="AD60" i="14" a="1"/>
  <c r="AD60" i="14" s="1"/>
  <c r="Y60" i="14" a="1"/>
  <c r="Y60" i="14" s="1"/>
  <c r="Y57" i="14" a="1"/>
  <c r="Y57" i="14" s="1"/>
  <c r="AB60" i="14" a="1"/>
  <c r="AB60" i="14" s="1"/>
  <c r="Z57" i="14" a="1"/>
  <c r="Z57" i="14" s="1"/>
  <c r="N15" i="13" l="1" a="1"/>
  <c r="N15" i="13" s="1"/>
  <c r="O15" i="13" a="1"/>
  <c r="O15" i="13" s="1"/>
  <c r="P15" i="13" a="1"/>
  <c r="P15" i="13" s="1"/>
  <c r="Q15" i="13" a="1"/>
  <c r="Q15" i="13" s="1"/>
  <c r="R15" i="13" a="1"/>
  <c r="R15" i="13" s="1"/>
  <c r="S15" i="13" a="1"/>
  <c r="S15" i="13" s="1"/>
  <c r="T15" i="13" a="1"/>
  <c r="T15" i="13" s="1"/>
  <c r="U15" i="13" a="1"/>
  <c r="U15" i="13" s="1"/>
  <c r="V15" i="13" a="1"/>
  <c r="V15" i="13" s="1"/>
  <c r="W15" i="13" a="1"/>
  <c r="W15" i="13" s="1"/>
  <c r="X15" i="13" a="1"/>
  <c r="X15" i="13" s="1"/>
  <c r="N16" i="13" a="1"/>
  <c r="N16" i="13" s="1"/>
  <c r="O16" i="13" a="1"/>
  <c r="O16" i="13" s="1"/>
  <c r="P16" i="13" a="1"/>
  <c r="P16" i="13" s="1"/>
  <c r="Q16" i="13" a="1"/>
  <c r="Q16" i="13" s="1"/>
  <c r="R16" i="13" a="1"/>
  <c r="R16" i="13" s="1"/>
  <c r="S16" i="13" a="1"/>
  <c r="S16" i="13" s="1"/>
  <c r="T16" i="13" a="1"/>
  <c r="T16" i="13" s="1"/>
  <c r="U16" i="13" a="1"/>
  <c r="U16" i="13" s="1"/>
  <c r="V16" i="13" a="1"/>
  <c r="V16" i="13" s="1"/>
  <c r="W16" i="13" a="1"/>
  <c r="W16" i="13" s="1"/>
  <c r="X16" i="13" a="1"/>
  <c r="X16" i="13" s="1"/>
  <c r="N17" i="13" a="1"/>
  <c r="N17" i="13" s="1"/>
  <c r="O17" i="13" a="1"/>
  <c r="O17" i="13" s="1"/>
  <c r="P17" i="13" a="1"/>
  <c r="P17" i="13" s="1"/>
  <c r="Q17" i="13" a="1"/>
  <c r="Q17" i="13" s="1"/>
  <c r="R17" i="13" a="1"/>
  <c r="R17" i="13" s="1"/>
  <c r="S17" i="13" a="1"/>
  <c r="S17" i="13" s="1"/>
  <c r="T17" i="13" a="1"/>
  <c r="T17" i="13" s="1"/>
  <c r="U17" i="13" a="1"/>
  <c r="U17" i="13" s="1"/>
  <c r="V17" i="13" a="1"/>
  <c r="V17" i="13" s="1"/>
  <c r="W17" i="13" a="1"/>
  <c r="W17" i="13" s="1"/>
  <c r="X17" i="13" a="1"/>
  <c r="X17" i="13" s="1"/>
  <c r="N18" i="13" a="1"/>
  <c r="N18" i="13" s="1"/>
  <c r="O18" i="13" a="1"/>
  <c r="O18" i="13" s="1"/>
  <c r="P18" i="13" a="1"/>
  <c r="P18" i="13" s="1"/>
  <c r="Q18" i="13" a="1"/>
  <c r="Q18" i="13" s="1"/>
  <c r="R18" i="13" a="1"/>
  <c r="R18" i="13" s="1"/>
  <c r="S18" i="13" a="1"/>
  <c r="S18" i="13" s="1"/>
  <c r="T18" i="13" a="1"/>
  <c r="T18" i="13" s="1"/>
  <c r="U18" i="13" a="1"/>
  <c r="U18" i="13" s="1"/>
  <c r="V18" i="13" a="1"/>
  <c r="V18" i="13" s="1"/>
  <c r="W18" i="13" a="1"/>
  <c r="W18" i="13" s="1"/>
  <c r="X18" i="13" a="1"/>
  <c r="X18" i="13" s="1"/>
  <c r="N19" i="13" a="1"/>
  <c r="N19" i="13" s="1"/>
  <c r="O19" i="13" a="1"/>
  <c r="O19" i="13" s="1"/>
  <c r="P19" i="13" a="1"/>
  <c r="P19" i="13" s="1"/>
  <c r="Q19" i="13" a="1"/>
  <c r="Q19" i="13" s="1"/>
  <c r="R19" i="13" a="1"/>
  <c r="R19" i="13" s="1"/>
  <c r="S19" i="13" a="1"/>
  <c r="S19" i="13" s="1"/>
  <c r="T19" i="13" a="1"/>
  <c r="T19" i="13" s="1"/>
  <c r="U19" i="13" a="1"/>
  <c r="U19" i="13" s="1"/>
  <c r="V19" i="13" a="1"/>
  <c r="V19" i="13" s="1"/>
  <c r="W19" i="13" a="1"/>
  <c r="W19" i="13" s="1"/>
  <c r="X19" i="13" a="1"/>
  <c r="X19" i="13" s="1"/>
  <c r="N20" i="13" a="1"/>
  <c r="N20" i="13" s="1"/>
  <c r="O20" i="13" a="1"/>
  <c r="O20" i="13" s="1"/>
  <c r="P20" i="13" a="1"/>
  <c r="P20" i="13" s="1"/>
  <c r="Q20" i="13" a="1"/>
  <c r="Q20" i="13" s="1"/>
  <c r="R20" i="13" a="1"/>
  <c r="R20" i="13" s="1"/>
  <c r="S20" i="13" a="1"/>
  <c r="S20" i="13" s="1"/>
  <c r="T20" i="13" a="1"/>
  <c r="T20" i="13" s="1"/>
  <c r="U20" i="13" a="1"/>
  <c r="U20" i="13" s="1"/>
  <c r="V20" i="13" a="1"/>
  <c r="V20" i="13" s="1"/>
  <c r="W20" i="13" a="1"/>
  <c r="W20" i="13" s="1"/>
  <c r="X20" i="13" a="1"/>
  <c r="X20" i="13" s="1"/>
  <c r="N21" i="13" a="1"/>
  <c r="N21" i="13" s="1"/>
  <c r="O21" i="13" a="1"/>
  <c r="O21" i="13" s="1"/>
  <c r="P21" i="13" a="1"/>
  <c r="P21" i="13" s="1"/>
  <c r="Q21" i="13" a="1"/>
  <c r="Q21" i="13" s="1"/>
  <c r="R21" i="13" a="1"/>
  <c r="R21" i="13" s="1"/>
  <c r="S21" i="13" a="1"/>
  <c r="S21" i="13" s="1"/>
  <c r="T21" i="13" a="1"/>
  <c r="T21" i="13" s="1"/>
  <c r="U21" i="13" a="1"/>
  <c r="U21" i="13" s="1"/>
  <c r="V21" i="13" a="1"/>
  <c r="V21" i="13" s="1"/>
  <c r="W21" i="13" a="1"/>
  <c r="W21" i="13" s="1"/>
  <c r="X21" i="13" a="1"/>
  <c r="X21" i="13" s="1"/>
  <c r="N22" i="13" a="1"/>
  <c r="N22" i="13" s="1"/>
  <c r="O22" i="13" a="1"/>
  <c r="O22" i="13" s="1"/>
  <c r="P22" i="13" a="1"/>
  <c r="P22" i="13" s="1"/>
  <c r="Q22" i="13" a="1"/>
  <c r="Q22" i="13" s="1"/>
  <c r="R22" i="13" a="1"/>
  <c r="R22" i="13" s="1"/>
  <c r="S22" i="13" a="1"/>
  <c r="S22" i="13" s="1"/>
  <c r="T22" i="13" a="1"/>
  <c r="T22" i="13" s="1"/>
  <c r="U22" i="13" a="1"/>
  <c r="U22" i="13" s="1"/>
  <c r="V22" i="13" a="1"/>
  <c r="V22" i="13" s="1"/>
  <c r="W22" i="13" a="1"/>
  <c r="W22" i="13" s="1"/>
  <c r="X22" i="13" a="1"/>
  <c r="X22" i="13" s="1"/>
  <c r="N23" i="13" a="1"/>
  <c r="N23" i="13" s="1"/>
  <c r="O23" i="13" a="1"/>
  <c r="O23" i="13" s="1"/>
  <c r="P23" i="13" a="1"/>
  <c r="P23" i="13" s="1"/>
  <c r="Q23" i="13" a="1"/>
  <c r="Q23" i="13" s="1"/>
  <c r="R23" i="13" a="1"/>
  <c r="R23" i="13" s="1"/>
  <c r="S23" i="13" a="1"/>
  <c r="S23" i="13" s="1"/>
  <c r="T23" i="13" a="1"/>
  <c r="T23" i="13" s="1"/>
  <c r="U23" i="13" a="1"/>
  <c r="U23" i="13" s="1"/>
  <c r="V23" i="13" a="1"/>
  <c r="V23" i="13" s="1"/>
  <c r="W23" i="13" a="1"/>
  <c r="W23" i="13" s="1"/>
  <c r="X23" i="13" a="1"/>
  <c r="X23" i="13" s="1"/>
  <c r="N24" i="13" a="1"/>
  <c r="N24" i="13" s="1"/>
  <c r="O24" i="13" a="1"/>
  <c r="O24" i="13" s="1"/>
  <c r="P24" i="13" a="1"/>
  <c r="P24" i="13" s="1"/>
  <c r="Q24" i="13" a="1"/>
  <c r="Q24" i="13" s="1"/>
  <c r="R24" i="13" a="1"/>
  <c r="R24" i="13" s="1"/>
  <c r="S24" i="13" a="1"/>
  <c r="S24" i="13" s="1"/>
  <c r="T24" i="13" a="1"/>
  <c r="T24" i="13" s="1"/>
  <c r="U24" i="13" a="1"/>
  <c r="U24" i="13" s="1"/>
  <c r="V24" i="13" a="1"/>
  <c r="V24" i="13" s="1"/>
  <c r="W24" i="13" a="1"/>
  <c r="W24" i="13" s="1"/>
  <c r="X24" i="13" a="1"/>
  <c r="X24" i="13" s="1"/>
  <c r="N25" i="13" a="1"/>
  <c r="N25" i="13" s="1"/>
  <c r="O25" i="13" a="1"/>
  <c r="O25" i="13" s="1"/>
  <c r="P25" i="13" a="1"/>
  <c r="P25" i="13" s="1"/>
  <c r="Q25" i="13" a="1"/>
  <c r="Q25" i="13" s="1"/>
  <c r="R25" i="13" a="1"/>
  <c r="R25" i="13" s="1"/>
  <c r="S25" i="13" a="1"/>
  <c r="S25" i="13" s="1"/>
  <c r="T25" i="13" a="1"/>
  <c r="T25" i="13" s="1"/>
  <c r="U25" i="13" a="1"/>
  <c r="U25" i="13" s="1"/>
  <c r="V25" i="13" a="1"/>
  <c r="V25" i="13" s="1"/>
  <c r="W25" i="13" a="1"/>
  <c r="W25" i="13" s="1"/>
  <c r="X25" i="13" a="1"/>
  <c r="X25" i="13" s="1"/>
  <c r="N26" i="13" a="1"/>
  <c r="N26" i="13" s="1"/>
  <c r="O26" i="13" a="1"/>
  <c r="O26" i="13" s="1"/>
  <c r="P26" i="13" a="1"/>
  <c r="P26" i="13" s="1"/>
  <c r="Q26" i="13" a="1"/>
  <c r="Q26" i="13" s="1"/>
  <c r="R26" i="13" a="1"/>
  <c r="R26" i="13" s="1"/>
  <c r="S26" i="13" a="1"/>
  <c r="S26" i="13" s="1"/>
  <c r="T26" i="13" a="1"/>
  <c r="T26" i="13" s="1"/>
  <c r="U26" i="13" a="1"/>
  <c r="U26" i="13" s="1"/>
  <c r="V26" i="13" a="1"/>
  <c r="V26" i="13" s="1"/>
  <c r="W26" i="13" a="1"/>
  <c r="W26" i="13" s="1"/>
  <c r="X26" i="13" a="1"/>
  <c r="X26" i="13" s="1"/>
  <c r="N27" i="13" a="1"/>
  <c r="N27" i="13" s="1"/>
  <c r="O27" i="13" a="1"/>
  <c r="O27" i="13" s="1"/>
  <c r="P27" i="13" a="1"/>
  <c r="P27" i="13" s="1"/>
  <c r="Q27" i="13" a="1"/>
  <c r="Q27" i="13" s="1"/>
  <c r="R27" i="13" a="1"/>
  <c r="R27" i="13" s="1"/>
  <c r="S27" i="13" a="1"/>
  <c r="S27" i="13" s="1"/>
  <c r="T27" i="13" a="1"/>
  <c r="T27" i="13" s="1"/>
  <c r="U27" i="13" a="1"/>
  <c r="U27" i="13" s="1"/>
  <c r="V27" i="13" a="1"/>
  <c r="V27" i="13" s="1"/>
  <c r="W27" i="13" a="1"/>
  <c r="W27" i="13" s="1"/>
  <c r="X27" i="13" a="1"/>
  <c r="X27" i="13" s="1"/>
  <c r="N28" i="13" a="1"/>
  <c r="N28" i="13" s="1"/>
  <c r="O28" i="13" a="1"/>
  <c r="O28" i="13" s="1"/>
  <c r="P28" i="13" a="1"/>
  <c r="P28" i="13" s="1"/>
  <c r="Q28" i="13" a="1"/>
  <c r="Q28" i="13" s="1"/>
  <c r="R28" i="13" a="1"/>
  <c r="R28" i="13" s="1"/>
  <c r="S28" i="13" a="1"/>
  <c r="S28" i="13" s="1"/>
  <c r="T28" i="13" a="1"/>
  <c r="T28" i="13" s="1"/>
  <c r="U28" i="13" a="1"/>
  <c r="U28" i="13" s="1"/>
  <c r="V28" i="13" a="1"/>
  <c r="V28" i="13" s="1"/>
  <c r="W28" i="13" a="1"/>
  <c r="W28" i="13" s="1"/>
  <c r="X28" i="13" a="1"/>
  <c r="X28" i="13" s="1"/>
  <c r="N29" i="13" a="1"/>
  <c r="N29" i="13" s="1"/>
  <c r="O29" i="13" a="1"/>
  <c r="O29" i="13" s="1"/>
  <c r="P29" i="13" a="1"/>
  <c r="P29" i="13" s="1"/>
  <c r="Q29" i="13" a="1"/>
  <c r="Q29" i="13" s="1"/>
  <c r="R29" i="13" a="1"/>
  <c r="R29" i="13" s="1"/>
  <c r="S29" i="13" a="1"/>
  <c r="S29" i="13" s="1"/>
  <c r="T29" i="13" a="1"/>
  <c r="T29" i="13" s="1"/>
  <c r="U29" i="13" a="1"/>
  <c r="U29" i="13" s="1"/>
  <c r="V29" i="13" a="1"/>
  <c r="V29" i="13" s="1"/>
  <c r="W29" i="13" a="1"/>
  <c r="W29" i="13" s="1"/>
  <c r="X29" i="13" a="1"/>
  <c r="X29" i="13" s="1"/>
  <c r="N30" i="13" a="1"/>
  <c r="N30" i="13" s="1"/>
  <c r="O30" i="13" a="1"/>
  <c r="O30" i="13" s="1"/>
  <c r="P30" i="13" a="1"/>
  <c r="P30" i="13" s="1"/>
  <c r="Q30" i="13" a="1"/>
  <c r="Q30" i="13" s="1"/>
  <c r="R30" i="13" a="1"/>
  <c r="R30" i="13" s="1"/>
  <c r="S30" i="13" a="1"/>
  <c r="S30" i="13" s="1"/>
  <c r="T30" i="13" a="1"/>
  <c r="T30" i="13" s="1"/>
  <c r="U30" i="13" a="1"/>
  <c r="U30" i="13" s="1"/>
  <c r="V30" i="13" a="1"/>
  <c r="V30" i="13" s="1"/>
  <c r="W30" i="13" a="1"/>
  <c r="W30" i="13" s="1"/>
  <c r="X30" i="13" a="1"/>
  <c r="X30" i="13" s="1"/>
  <c r="N31" i="13" a="1"/>
  <c r="N31" i="13" s="1"/>
  <c r="O31" i="13" a="1"/>
  <c r="O31" i="13" s="1"/>
  <c r="P31" i="13" a="1"/>
  <c r="P31" i="13" s="1"/>
  <c r="Q31" i="13" a="1"/>
  <c r="Q31" i="13" s="1"/>
  <c r="R31" i="13" a="1"/>
  <c r="R31" i="13" s="1"/>
  <c r="S31" i="13" a="1"/>
  <c r="S31" i="13" s="1"/>
  <c r="T31" i="13" a="1"/>
  <c r="T31" i="13" s="1"/>
  <c r="U31" i="13" a="1"/>
  <c r="U31" i="13" s="1"/>
  <c r="V31" i="13" a="1"/>
  <c r="V31" i="13" s="1"/>
  <c r="W31" i="13" a="1"/>
  <c r="W31" i="13" s="1"/>
  <c r="X31" i="13" a="1"/>
  <c r="X31" i="13" s="1"/>
  <c r="N32" i="13" a="1"/>
  <c r="N32" i="13" s="1"/>
  <c r="O32" i="13" a="1"/>
  <c r="O32" i="13" s="1"/>
  <c r="P32" i="13" a="1"/>
  <c r="P32" i="13" s="1"/>
  <c r="Q32" i="13" a="1"/>
  <c r="Q32" i="13" s="1"/>
  <c r="R32" i="13" a="1"/>
  <c r="R32" i="13" s="1"/>
  <c r="S32" i="13" a="1"/>
  <c r="S32" i="13" s="1"/>
  <c r="T32" i="13" a="1"/>
  <c r="T32" i="13" s="1"/>
  <c r="U32" i="13" a="1"/>
  <c r="U32" i="13" s="1"/>
  <c r="V32" i="13" a="1"/>
  <c r="V32" i="13" s="1"/>
  <c r="W32" i="13" a="1"/>
  <c r="W32" i="13" s="1"/>
  <c r="X32" i="13" a="1"/>
  <c r="X32" i="13" s="1"/>
  <c r="N33" i="13" a="1"/>
  <c r="N33" i="13" s="1"/>
  <c r="O33" i="13" a="1"/>
  <c r="O33" i="13" s="1"/>
  <c r="P33" i="13" a="1"/>
  <c r="P33" i="13" s="1"/>
  <c r="Q33" i="13" a="1"/>
  <c r="Q33" i="13" s="1"/>
  <c r="R33" i="13" a="1"/>
  <c r="R33" i="13" s="1"/>
  <c r="S33" i="13" a="1"/>
  <c r="S33" i="13" s="1"/>
  <c r="T33" i="13" a="1"/>
  <c r="T33" i="13" s="1"/>
  <c r="U33" i="13" a="1"/>
  <c r="U33" i="13" s="1"/>
  <c r="V33" i="13" a="1"/>
  <c r="V33" i="13" s="1"/>
  <c r="W33" i="13" a="1"/>
  <c r="W33" i="13" s="1"/>
  <c r="X33" i="13" a="1"/>
  <c r="X33" i="13" s="1"/>
  <c r="N34" i="13" a="1"/>
  <c r="N34" i="13" s="1"/>
  <c r="O34" i="13" a="1"/>
  <c r="O34" i="13" s="1"/>
  <c r="P34" i="13" a="1"/>
  <c r="P34" i="13" s="1"/>
  <c r="Q34" i="13" a="1"/>
  <c r="Q34" i="13" s="1"/>
  <c r="R34" i="13" a="1"/>
  <c r="R34" i="13" s="1"/>
  <c r="S34" i="13" a="1"/>
  <c r="S34" i="13" s="1"/>
  <c r="T34" i="13" a="1"/>
  <c r="T34" i="13" s="1"/>
  <c r="U34" i="13" a="1"/>
  <c r="U34" i="13" s="1"/>
  <c r="V34" i="13" a="1"/>
  <c r="V34" i="13" s="1"/>
  <c r="W34" i="13" a="1"/>
  <c r="W34" i="13" s="1"/>
  <c r="X34" i="13" a="1"/>
  <c r="X34" i="13" s="1"/>
  <c r="N35" i="13" a="1"/>
  <c r="N35" i="13" s="1"/>
  <c r="O35" i="13" a="1"/>
  <c r="O35" i="13" s="1"/>
  <c r="P35" i="13" a="1"/>
  <c r="P35" i="13" s="1"/>
  <c r="Q35" i="13" a="1"/>
  <c r="Q35" i="13" s="1"/>
  <c r="R35" i="13" a="1"/>
  <c r="R35" i="13" s="1"/>
  <c r="S35" i="13" a="1"/>
  <c r="S35" i="13" s="1"/>
  <c r="T35" i="13" a="1"/>
  <c r="T35" i="13" s="1"/>
  <c r="U35" i="13" a="1"/>
  <c r="U35" i="13" s="1"/>
  <c r="V35" i="13" a="1"/>
  <c r="V35" i="13" s="1"/>
  <c r="W35" i="13" a="1"/>
  <c r="W35" i="13" s="1"/>
  <c r="X35" i="13" a="1"/>
  <c r="X35" i="13" s="1"/>
  <c r="N36" i="13" a="1"/>
  <c r="N36" i="13" s="1"/>
  <c r="O36" i="13" a="1"/>
  <c r="O36" i="13" s="1"/>
  <c r="P36" i="13" a="1"/>
  <c r="P36" i="13" s="1"/>
  <c r="Q36" i="13" a="1"/>
  <c r="Q36" i="13" s="1"/>
  <c r="R36" i="13" a="1"/>
  <c r="R36" i="13" s="1"/>
  <c r="S36" i="13" a="1"/>
  <c r="S36" i="13" s="1"/>
  <c r="T36" i="13" a="1"/>
  <c r="T36" i="13" s="1"/>
  <c r="U36" i="13" a="1"/>
  <c r="U36" i="13" s="1"/>
  <c r="V36" i="13" a="1"/>
  <c r="V36" i="13" s="1"/>
  <c r="W36" i="13" a="1"/>
  <c r="W36" i="13" s="1"/>
  <c r="X36" i="13" a="1"/>
  <c r="X36" i="13" s="1"/>
  <c r="N37" i="13" a="1"/>
  <c r="N37" i="13" s="1"/>
  <c r="O37" i="13" a="1"/>
  <c r="O37" i="13" s="1"/>
  <c r="P37" i="13" a="1"/>
  <c r="P37" i="13" s="1"/>
  <c r="Q37" i="13" a="1"/>
  <c r="Q37" i="13" s="1"/>
  <c r="R37" i="13" a="1"/>
  <c r="R37" i="13" s="1"/>
  <c r="S37" i="13" a="1"/>
  <c r="S37" i="13" s="1"/>
  <c r="T37" i="13" a="1"/>
  <c r="T37" i="13" s="1"/>
  <c r="U37" i="13" a="1"/>
  <c r="U37" i="13" s="1"/>
  <c r="V37" i="13" a="1"/>
  <c r="V37" i="13" s="1"/>
  <c r="W37" i="13" a="1"/>
  <c r="W37" i="13" s="1"/>
  <c r="X37" i="13" a="1"/>
  <c r="X37" i="13" s="1"/>
  <c r="N14" i="13" a="1"/>
  <c r="N14" i="13" s="1"/>
  <c r="O14" i="13" a="1"/>
  <c r="O14" i="13" s="1"/>
  <c r="P14" i="13" a="1"/>
  <c r="P14" i="13" s="1"/>
  <c r="Q14" i="13" a="1"/>
  <c r="Q14" i="13" s="1"/>
  <c r="R14" i="13" a="1"/>
  <c r="R14" i="13" s="1"/>
  <c r="S14" i="13" a="1"/>
  <c r="S14" i="13" s="1"/>
  <c r="T14" i="13" a="1"/>
  <c r="T14" i="13" s="1"/>
  <c r="U14" i="13" a="1"/>
  <c r="U14" i="13" s="1"/>
  <c r="V14" i="13" a="1"/>
  <c r="V14" i="13" s="1"/>
  <c r="W14" i="13" a="1"/>
  <c r="W14" i="13" s="1"/>
  <c r="X14" i="13" a="1"/>
  <c r="X14" i="13" s="1"/>
  <c r="X13" i="13" a="1"/>
  <c r="X13" i="13" s="1"/>
  <c r="W13" i="13" a="1"/>
  <c r="W13" i="13" s="1"/>
  <c r="V13" i="13" a="1"/>
  <c r="V13" i="13" s="1"/>
  <c r="U13" i="13" a="1"/>
  <c r="U13" i="13" s="1"/>
  <c r="T13" i="13" a="1"/>
  <c r="T13" i="13" s="1"/>
  <c r="S13" i="13" a="1"/>
  <c r="S13" i="13" s="1"/>
  <c r="R13" i="13" a="1"/>
  <c r="R13" i="13" s="1"/>
  <c r="Q13" i="13" a="1"/>
  <c r="Q13" i="13" s="1"/>
  <c r="P13" i="13" a="1"/>
  <c r="P13" i="13" s="1"/>
  <c r="N13" i="13" a="1"/>
  <c r="N13" i="13" s="1"/>
  <c r="O13" i="13" a="1"/>
  <c r="O13" i="13" s="1"/>
  <c r="G31" i="13" l="1" a="1"/>
  <c r="G31" i="13" s="1"/>
  <c r="G32" i="13" a="1"/>
  <c r="G32" i="13" s="1"/>
  <c r="G33" i="13" a="1"/>
  <c r="G33" i="13" s="1"/>
  <c r="G34" i="13" a="1"/>
  <c r="G34" i="13" s="1"/>
  <c r="G35" i="13" a="1"/>
  <c r="G35" i="13" s="1"/>
  <c r="G36" i="13" a="1"/>
  <c r="G36" i="13" s="1"/>
  <c r="AA31" i="13" a="1"/>
  <c r="AA31" i="13" s="1"/>
  <c r="AA32" i="13" a="1"/>
  <c r="AA32" i="13" s="1"/>
  <c r="AA33" i="13" a="1"/>
  <c r="AA33" i="13" s="1"/>
  <c r="AA34" i="13" a="1"/>
  <c r="AA34" i="13" s="1"/>
  <c r="AA35" i="13" a="1"/>
  <c r="AA35" i="13" s="1"/>
  <c r="AA36" i="13" a="1"/>
  <c r="AA36" i="13" s="1"/>
  <c r="AB31" i="13" a="1"/>
  <c r="AB31" i="13" s="1"/>
  <c r="AB32" i="13" a="1"/>
  <c r="AB32" i="13" s="1"/>
  <c r="AB33" i="13" a="1"/>
  <c r="AB33" i="13" s="1"/>
  <c r="AB34" i="13" a="1"/>
  <c r="AB34" i="13" s="1"/>
  <c r="AB35" i="13" a="1"/>
  <c r="AB35" i="13" s="1"/>
  <c r="AB36" i="13" a="1"/>
  <c r="AB36" i="13" s="1"/>
  <c r="AC31" i="13" a="1"/>
  <c r="AC31" i="13" s="1"/>
  <c r="AC32" i="13" a="1"/>
  <c r="AC32" i="13" s="1"/>
  <c r="AC33" i="13" a="1"/>
  <c r="AC33" i="13" s="1"/>
  <c r="AC34" i="13" a="1"/>
  <c r="AC34" i="13" s="1"/>
  <c r="AC35" i="13" a="1"/>
  <c r="AC35" i="13" s="1"/>
  <c r="AC36" i="13" a="1"/>
  <c r="AC36" i="13" s="1"/>
  <c r="AD31" i="13" a="1"/>
  <c r="AD31" i="13" s="1"/>
  <c r="AD32" i="13" a="1"/>
  <c r="AD32" i="13" s="1"/>
  <c r="AD33" i="13" a="1"/>
  <c r="AD33" i="13" s="1"/>
  <c r="AD34" i="13" a="1"/>
  <c r="AD34" i="13" s="1"/>
  <c r="AD35" i="13" a="1"/>
  <c r="AD35" i="13" s="1"/>
  <c r="AD36" i="13" a="1"/>
  <c r="AD36" i="13" s="1"/>
  <c r="AE31" i="13" a="1"/>
  <c r="AE31" i="13" s="1"/>
  <c r="AE32" i="13" a="1"/>
  <c r="AE32" i="13" s="1"/>
  <c r="AE33" i="13" a="1"/>
  <c r="AE33" i="13" s="1"/>
  <c r="AE34" i="13" a="1"/>
  <c r="AE34" i="13" s="1"/>
  <c r="AE35" i="13" a="1"/>
  <c r="AE35" i="13" s="1"/>
  <c r="AE36" i="13" a="1"/>
  <c r="AE36" i="13" s="1"/>
  <c r="AF31" i="13" a="1"/>
  <c r="AF31" i="13" s="1"/>
  <c r="AF32" i="13" a="1"/>
  <c r="AF32" i="13" s="1"/>
  <c r="AF33" i="13" a="1"/>
  <c r="AF33" i="13" s="1"/>
  <c r="AF34" i="13" a="1"/>
  <c r="AF34" i="13" s="1"/>
  <c r="AF35" i="13" a="1"/>
  <c r="AF35" i="13" s="1"/>
  <c r="AF36" i="13" a="1"/>
  <c r="AF36" i="13" s="1"/>
  <c r="AG31" i="13" a="1"/>
  <c r="AG31" i="13" s="1"/>
  <c r="AG32" i="13" a="1"/>
  <c r="AG32" i="13" s="1"/>
  <c r="AG33" i="13" a="1"/>
  <c r="AG33" i="13" s="1"/>
  <c r="AG34" i="13" a="1"/>
  <c r="AG34" i="13" s="1"/>
  <c r="AG35" i="13" a="1"/>
  <c r="AG35" i="13" s="1"/>
  <c r="AG36" i="13" a="1"/>
  <c r="AG36" i="13" s="1"/>
  <c r="AH31" i="13" a="1"/>
  <c r="AH31" i="13" s="1"/>
  <c r="AH32" i="13" a="1"/>
  <c r="AH32" i="13" s="1"/>
  <c r="AH33" i="13" a="1"/>
  <c r="AH33" i="13" s="1"/>
  <c r="AH34" i="13" a="1"/>
  <c r="AH34" i="13" s="1"/>
  <c r="AH35" i="13" a="1"/>
  <c r="AH35" i="13" s="1"/>
  <c r="AH36" i="13" a="1"/>
  <c r="AH36" i="13" s="1"/>
  <c r="AI31" i="13" a="1"/>
  <c r="AI31" i="13" s="1"/>
  <c r="AI32" i="13" a="1"/>
  <c r="AI32" i="13" s="1"/>
  <c r="AI33" i="13" a="1"/>
  <c r="AI33" i="13" s="1"/>
  <c r="AI34" i="13" a="1"/>
  <c r="AI34" i="13" s="1"/>
  <c r="AI35" i="13" a="1"/>
  <c r="AI35" i="13" s="1"/>
  <c r="AI36" i="13" a="1"/>
  <c r="AI36" i="13" s="1"/>
  <c r="E14" i="14" l="1" a="1"/>
  <c r="E14" i="14" s="1"/>
  <c r="E15" i="14" a="1"/>
  <c r="E15" i="14" s="1"/>
  <c r="E16" i="14" a="1"/>
  <c r="E16" i="14" s="1"/>
  <c r="E17" i="14" a="1"/>
  <c r="E17" i="14" s="1"/>
  <c r="E18" i="14" a="1"/>
  <c r="E18" i="14" s="1"/>
  <c r="E19" i="14" a="1"/>
  <c r="E19" i="14" s="1"/>
  <c r="E25" i="14" a="1"/>
  <c r="E25" i="14" s="1"/>
  <c r="E26" i="14" a="1"/>
  <c r="E26" i="14" s="1"/>
  <c r="E27" i="14" a="1"/>
  <c r="E27" i="14" s="1"/>
  <c r="E28" i="14" a="1"/>
  <c r="E28" i="14" s="1"/>
  <c r="E29" i="14" a="1"/>
  <c r="E29" i="14" s="1"/>
  <c r="E30" i="14" a="1"/>
  <c r="E30" i="14" s="1"/>
  <c r="E31" i="14" a="1"/>
  <c r="E31" i="14" s="1"/>
  <c r="E32" i="14" a="1"/>
  <c r="E32" i="14" s="1"/>
  <c r="E33" i="14" a="1"/>
  <c r="E33" i="14" s="1"/>
  <c r="E34" i="14" a="1"/>
  <c r="E34" i="14" s="1"/>
  <c r="E35" i="14" a="1"/>
  <c r="E35" i="14" s="1"/>
  <c r="E36" i="14" a="1"/>
  <c r="E36" i="14" s="1"/>
  <c r="E37" i="14" a="1"/>
  <c r="E37" i="14" s="1"/>
  <c r="E38" i="14" a="1"/>
  <c r="E38" i="14" s="1"/>
  <c r="E39" i="14" a="1"/>
  <c r="E39" i="14" s="1"/>
  <c r="E40" i="14" a="1"/>
  <c r="E40" i="14" s="1"/>
  <c r="E47" i="14" a="1"/>
  <c r="E47" i="14" s="1"/>
  <c r="E48" i="14" a="1"/>
  <c r="E48" i="14" s="1"/>
  <c r="E49" i="14" a="1"/>
  <c r="E49" i="14" s="1"/>
  <c r="E50" i="14" a="1"/>
  <c r="E50" i="14" s="1"/>
  <c r="E51" i="14" a="1"/>
  <c r="E51" i="14" s="1"/>
  <c r="E52" i="14" a="1"/>
  <c r="E52" i="14" s="1"/>
  <c r="E53" i="14" a="1"/>
  <c r="E53" i="14" s="1"/>
  <c r="E54" i="14" a="1"/>
  <c r="E54" i="14" s="1"/>
  <c r="E55" i="14" a="1"/>
  <c r="E55" i="14" s="1"/>
  <c r="E56" i="14" a="1"/>
  <c r="E56" i="14" s="1"/>
  <c r="Z14" i="14" a="1"/>
  <c r="Z14" i="14" s="1"/>
  <c r="Z15" i="14" a="1"/>
  <c r="Z15" i="14" s="1"/>
  <c r="Z16" i="14" a="1"/>
  <c r="Z16" i="14" s="1"/>
  <c r="Z17" i="14" a="1"/>
  <c r="Z17" i="14" s="1"/>
  <c r="Z18" i="14" a="1"/>
  <c r="Z18" i="14" s="1"/>
  <c r="Z19" i="14" a="1"/>
  <c r="Z19" i="14" s="1"/>
  <c r="Z25" i="14" a="1"/>
  <c r="Z25" i="14" s="1"/>
  <c r="Z26" i="14" a="1"/>
  <c r="Z26" i="14" s="1"/>
  <c r="Z27" i="14" a="1"/>
  <c r="Z27" i="14" s="1"/>
  <c r="Z28" i="14" a="1"/>
  <c r="Z28" i="14" s="1"/>
  <c r="Z29" i="14" a="1"/>
  <c r="Z29" i="14" s="1"/>
  <c r="Z30" i="14" a="1"/>
  <c r="Z30" i="14" s="1"/>
  <c r="Z31" i="14" a="1"/>
  <c r="Z31" i="14" s="1"/>
  <c r="Z32" i="14" a="1"/>
  <c r="Z32" i="14" s="1"/>
  <c r="Z33" i="14" a="1"/>
  <c r="Z33" i="14" s="1"/>
  <c r="Z34" i="14" a="1"/>
  <c r="Z34" i="14" s="1"/>
  <c r="Z35" i="14" a="1"/>
  <c r="Z35" i="14" s="1"/>
  <c r="Z36" i="14" a="1"/>
  <c r="Z36" i="14" s="1"/>
  <c r="Z37" i="14" a="1"/>
  <c r="Z37" i="14" s="1"/>
  <c r="Z38" i="14" a="1"/>
  <c r="Z38" i="14" s="1"/>
  <c r="Z39" i="14" a="1"/>
  <c r="Z39" i="14" s="1"/>
  <c r="Z40" i="14" a="1"/>
  <c r="Z40" i="14" s="1"/>
  <c r="Z47" i="14" a="1"/>
  <c r="Z47" i="14" s="1"/>
  <c r="Z48" i="14" a="1"/>
  <c r="Z48" i="14" s="1"/>
  <c r="Z49" i="14" a="1"/>
  <c r="Z49" i="14" s="1"/>
  <c r="Z50" i="14" a="1"/>
  <c r="Z50" i="14" s="1"/>
  <c r="Z51" i="14" a="1"/>
  <c r="Z51" i="14" s="1"/>
  <c r="Z52" i="14" a="1"/>
  <c r="Z52" i="14" s="1"/>
  <c r="Z53" i="14" a="1"/>
  <c r="Z53" i="14" s="1"/>
  <c r="Z54" i="14" a="1"/>
  <c r="Z54" i="14" s="1"/>
  <c r="Z55" i="14" a="1"/>
  <c r="Z55" i="14" s="1"/>
  <c r="Z56" i="14" a="1"/>
  <c r="Z56" i="14" s="1"/>
  <c r="AA14" i="14" a="1"/>
  <c r="AA14" i="14" s="1"/>
  <c r="AA15" i="14" a="1"/>
  <c r="AA15" i="14" s="1"/>
  <c r="AA16" i="14" a="1"/>
  <c r="AA16" i="14" s="1"/>
  <c r="AA17" i="14" a="1"/>
  <c r="AA17" i="14" s="1"/>
  <c r="AA18" i="14" a="1"/>
  <c r="AA18" i="14" s="1"/>
  <c r="AA19" i="14" a="1"/>
  <c r="AA19" i="14" s="1"/>
  <c r="AA25" i="14" a="1"/>
  <c r="AA25" i="14" s="1"/>
  <c r="AA26" i="14" a="1"/>
  <c r="AA26" i="14" s="1"/>
  <c r="AA27" i="14" a="1"/>
  <c r="AA27" i="14" s="1"/>
  <c r="AA28" i="14" a="1"/>
  <c r="AA28" i="14" s="1"/>
  <c r="AA29" i="14" a="1"/>
  <c r="AA29" i="14" s="1"/>
  <c r="AA30" i="14" a="1"/>
  <c r="AA30" i="14" s="1"/>
  <c r="AA31" i="14" a="1"/>
  <c r="AA31" i="14" s="1"/>
  <c r="AA32" i="14" a="1"/>
  <c r="AA32" i="14" s="1"/>
  <c r="AA33" i="14" a="1"/>
  <c r="AA33" i="14" s="1"/>
  <c r="AA34" i="14" a="1"/>
  <c r="AA34" i="14" s="1"/>
  <c r="AA35" i="14" a="1"/>
  <c r="AA35" i="14" s="1"/>
  <c r="AA36" i="14" a="1"/>
  <c r="AA36" i="14" s="1"/>
  <c r="AA37" i="14" a="1"/>
  <c r="AA37" i="14" s="1"/>
  <c r="AA38" i="14" a="1"/>
  <c r="AA38" i="14" s="1"/>
  <c r="AA39" i="14" a="1"/>
  <c r="AA39" i="14" s="1"/>
  <c r="AA40" i="14" a="1"/>
  <c r="AA40" i="14" s="1"/>
  <c r="AA47" i="14" a="1"/>
  <c r="AA47" i="14" s="1"/>
  <c r="AA48" i="14" a="1"/>
  <c r="AA48" i="14" s="1"/>
  <c r="AA49" i="14" a="1"/>
  <c r="AA49" i="14" s="1"/>
  <c r="AA50" i="14" a="1"/>
  <c r="AA50" i="14" s="1"/>
  <c r="AA51" i="14" a="1"/>
  <c r="AA51" i="14" s="1"/>
  <c r="AA52" i="14" a="1"/>
  <c r="AA52" i="14" s="1"/>
  <c r="AA53" i="14" a="1"/>
  <c r="AA53" i="14" s="1"/>
  <c r="AA54" i="14" a="1"/>
  <c r="AA54" i="14" s="1"/>
  <c r="AA55" i="14" a="1"/>
  <c r="AA55" i="14" s="1"/>
  <c r="AA56" i="14" a="1"/>
  <c r="AA56" i="14" s="1"/>
  <c r="AB14" i="14" a="1"/>
  <c r="AB14" i="14" s="1"/>
  <c r="AB15" i="14" a="1"/>
  <c r="AB15" i="14" s="1"/>
  <c r="AB16" i="14" a="1"/>
  <c r="AB16" i="14" s="1"/>
  <c r="AB17" i="14" a="1"/>
  <c r="AB17" i="14" s="1"/>
  <c r="AB18" i="14" a="1"/>
  <c r="AB18" i="14" s="1"/>
  <c r="AB19" i="14" a="1"/>
  <c r="AB19" i="14" s="1"/>
  <c r="AB25" i="14" a="1"/>
  <c r="AB25" i="14" s="1"/>
  <c r="AB26" i="14" a="1"/>
  <c r="AB26" i="14" s="1"/>
  <c r="AB27" i="14" a="1"/>
  <c r="AB27" i="14" s="1"/>
  <c r="AB28" i="14" a="1"/>
  <c r="AB28" i="14" s="1"/>
  <c r="AB29" i="14" a="1"/>
  <c r="AB29" i="14" s="1"/>
  <c r="AB30" i="14" a="1"/>
  <c r="AB30" i="14" s="1"/>
  <c r="AB31" i="14" a="1"/>
  <c r="AB31" i="14" s="1"/>
  <c r="AB32" i="14" a="1"/>
  <c r="AB32" i="14" s="1"/>
  <c r="AB33" i="14" a="1"/>
  <c r="AB33" i="14" s="1"/>
  <c r="AB34" i="14" a="1"/>
  <c r="AB34" i="14" s="1"/>
  <c r="AB35" i="14" a="1"/>
  <c r="AB35" i="14" s="1"/>
  <c r="AB36" i="14" a="1"/>
  <c r="AB36" i="14" s="1"/>
  <c r="AB37" i="14" a="1"/>
  <c r="AB37" i="14" s="1"/>
  <c r="AB38" i="14" a="1"/>
  <c r="AB38" i="14" s="1"/>
  <c r="AB39" i="14" a="1"/>
  <c r="AB39" i="14" s="1"/>
  <c r="AB40" i="14" a="1"/>
  <c r="AB40" i="14" s="1"/>
  <c r="AB47" i="14" a="1"/>
  <c r="AB47" i="14" s="1"/>
  <c r="AB48" i="14" a="1"/>
  <c r="AB48" i="14" s="1"/>
  <c r="AB49" i="14" a="1"/>
  <c r="AB49" i="14" s="1"/>
  <c r="AB50" i="14" a="1"/>
  <c r="AB50" i="14" s="1"/>
  <c r="AB51" i="14" a="1"/>
  <c r="AB51" i="14" s="1"/>
  <c r="AB52" i="14" a="1"/>
  <c r="AB52" i="14" s="1"/>
  <c r="AB53" i="14" a="1"/>
  <c r="AB53" i="14" s="1"/>
  <c r="AB54" i="14" a="1"/>
  <c r="AB54" i="14" s="1"/>
  <c r="AB55" i="14" a="1"/>
  <c r="AB55" i="14" s="1"/>
  <c r="AB56" i="14" a="1"/>
  <c r="AB56" i="14" s="1"/>
  <c r="AC14" i="14" a="1"/>
  <c r="AC14" i="14" s="1"/>
  <c r="AC15" i="14" a="1"/>
  <c r="AC15" i="14" s="1"/>
  <c r="AC16" i="14" a="1"/>
  <c r="AC16" i="14" s="1"/>
  <c r="AC17" i="14" a="1"/>
  <c r="AC17" i="14" s="1"/>
  <c r="AC18" i="14" a="1"/>
  <c r="AC18" i="14" s="1"/>
  <c r="AC19" i="14" a="1"/>
  <c r="AC19" i="14" s="1"/>
  <c r="AC25" i="14" a="1"/>
  <c r="AC25" i="14" s="1"/>
  <c r="AC26" i="14" a="1"/>
  <c r="AC26" i="14" s="1"/>
  <c r="AC27" i="14" a="1"/>
  <c r="AC27" i="14" s="1"/>
  <c r="AC28" i="14" a="1"/>
  <c r="AC28" i="14" s="1"/>
  <c r="AC29" i="14" a="1"/>
  <c r="AC29" i="14" s="1"/>
  <c r="AC30" i="14" a="1"/>
  <c r="AC30" i="14" s="1"/>
  <c r="AC31" i="14" a="1"/>
  <c r="AC31" i="14" s="1"/>
  <c r="AC32" i="14" a="1"/>
  <c r="AC32" i="14" s="1"/>
  <c r="AC33" i="14" a="1"/>
  <c r="AC33" i="14" s="1"/>
  <c r="AC34" i="14" a="1"/>
  <c r="AC34" i="14" s="1"/>
  <c r="AC35" i="14" a="1"/>
  <c r="AC35" i="14" s="1"/>
  <c r="AC36" i="14" a="1"/>
  <c r="AC36" i="14" s="1"/>
  <c r="AC37" i="14" a="1"/>
  <c r="AC37" i="14" s="1"/>
  <c r="AC38" i="14" a="1"/>
  <c r="AC38" i="14" s="1"/>
  <c r="AC39" i="14" a="1"/>
  <c r="AC39" i="14" s="1"/>
  <c r="AC40" i="14" a="1"/>
  <c r="AC40" i="14" s="1"/>
  <c r="AC47" i="14" a="1"/>
  <c r="AC47" i="14" s="1"/>
  <c r="AC48" i="14" a="1"/>
  <c r="AC48" i="14" s="1"/>
  <c r="AC49" i="14" a="1"/>
  <c r="AC49" i="14" s="1"/>
  <c r="AC50" i="14" a="1"/>
  <c r="AC50" i="14" s="1"/>
  <c r="AC51" i="14" a="1"/>
  <c r="AC51" i="14" s="1"/>
  <c r="AC52" i="14" a="1"/>
  <c r="AC52" i="14" s="1"/>
  <c r="AC53" i="14" a="1"/>
  <c r="AC53" i="14" s="1"/>
  <c r="AC54" i="14" a="1"/>
  <c r="AC54" i="14" s="1"/>
  <c r="AC55" i="14" a="1"/>
  <c r="AC55" i="14" s="1"/>
  <c r="AC56" i="14" a="1"/>
  <c r="AC56" i="14" s="1"/>
  <c r="AD14" i="14" a="1"/>
  <c r="AD14" i="14" s="1"/>
  <c r="AD15" i="14" a="1"/>
  <c r="AD15" i="14" s="1"/>
  <c r="AD16" i="14" a="1"/>
  <c r="AD16" i="14" s="1"/>
  <c r="AD17" i="14" a="1"/>
  <c r="AD17" i="14" s="1"/>
  <c r="AD18" i="14" a="1"/>
  <c r="AD18" i="14" s="1"/>
  <c r="AD19" i="14" a="1"/>
  <c r="AD19" i="14" s="1"/>
  <c r="AD25" i="14" a="1"/>
  <c r="AD25" i="14" s="1"/>
  <c r="AD26" i="14" a="1"/>
  <c r="AD26" i="14" s="1"/>
  <c r="AD27" i="14" a="1"/>
  <c r="AD27" i="14" s="1"/>
  <c r="AD28" i="14" a="1"/>
  <c r="AD28" i="14" s="1"/>
  <c r="AD29" i="14" a="1"/>
  <c r="AD29" i="14" s="1"/>
  <c r="AD30" i="14" a="1"/>
  <c r="AD30" i="14" s="1"/>
  <c r="AD31" i="14" a="1"/>
  <c r="AD31" i="14" s="1"/>
  <c r="AD32" i="14" a="1"/>
  <c r="AD32" i="14" s="1"/>
  <c r="AD33" i="14" a="1"/>
  <c r="AD33" i="14" s="1"/>
  <c r="AD34" i="14" a="1"/>
  <c r="AD34" i="14" s="1"/>
  <c r="AD35" i="14" a="1"/>
  <c r="AD35" i="14" s="1"/>
  <c r="AD36" i="14" a="1"/>
  <c r="AD36" i="14" s="1"/>
  <c r="AD37" i="14" a="1"/>
  <c r="AD37" i="14" s="1"/>
  <c r="AD38" i="14" a="1"/>
  <c r="AD38" i="14" s="1"/>
  <c r="AD39" i="14" a="1"/>
  <c r="AD39" i="14" s="1"/>
  <c r="AD40" i="14" a="1"/>
  <c r="AD40" i="14" s="1"/>
  <c r="AD47" i="14" a="1"/>
  <c r="AD47" i="14" s="1"/>
  <c r="AD48" i="14" a="1"/>
  <c r="AD48" i="14" s="1"/>
  <c r="AD49" i="14" a="1"/>
  <c r="AD49" i="14" s="1"/>
  <c r="AD50" i="14" a="1"/>
  <c r="AD50" i="14" s="1"/>
  <c r="AD51" i="14" a="1"/>
  <c r="AD51" i="14" s="1"/>
  <c r="AD52" i="14" a="1"/>
  <c r="AD52" i="14" s="1"/>
  <c r="AD53" i="14" a="1"/>
  <c r="AD53" i="14" s="1"/>
  <c r="AD54" i="14" a="1"/>
  <c r="AD54" i="14" s="1"/>
  <c r="AD55" i="14" a="1"/>
  <c r="AD55" i="14" s="1"/>
  <c r="AD56" i="14" a="1"/>
  <c r="AD56" i="14" s="1"/>
  <c r="AE14" i="14" a="1"/>
  <c r="AE14" i="14" s="1"/>
  <c r="AE15" i="14" a="1"/>
  <c r="AE15" i="14" s="1"/>
  <c r="AE16" i="14" a="1"/>
  <c r="AE16" i="14" s="1"/>
  <c r="AE17" i="14" a="1"/>
  <c r="AE17" i="14" s="1"/>
  <c r="AE18" i="14" a="1"/>
  <c r="AE18" i="14" s="1"/>
  <c r="AE19" i="14" a="1"/>
  <c r="AE19" i="14" s="1"/>
  <c r="AE25" i="14" a="1"/>
  <c r="AE25" i="14" s="1"/>
  <c r="AE26" i="14" a="1"/>
  <c r="AE26" i="14" s="1"/>
  <c r="AE27" i="14" a="1"/>
  <c r="AE27" i="14" s="1"/>
  <c r="AE28" i="14" a="1"/>
  <c r="AE28" i="14" s="1"/>
  <c r="AE29" i="14" a="1"/>
  <c r="AE29" i="14" s="1"/>
  <c r="AE30" i="14" a="1"/>
  <c r="AE30" i="14" s="1"/>
  <c r="AE31" i="14" a="1"/>
  <c r="AE31" i="14" s="1"/>
  <c r="AE32" i="14" a="1"/>
  <c r="AE32" i="14" s="1"/>
  <c r="AE33" i="14" a="1"/>
  <c r="AE33" i="14" s="1"/>
  <c r="AE34" i="14" a="1"/>
  <c r="AE34" i="14" s="1"/>
  <c r="AE35" i="14" a="1"/>
  <c r="AE35" i="14" s="1"/>
  <c r="AE36" i="14" a="1"/>
  <c r="AE36" i="14" s="1"/>
  <c r="AE37" i="14" a="1"/>
  <c r="AE37" i="14" s="1"/>
  <c r="AE38" i="14" a="1"/>
  <c r="AE38" i="14" s="1"/>
  <c r="AE39" i="14" a="1"/>
  <c r="AE39" i="14" s="1"/>
  <c r="AE40" i="14" a="1"/>
  <c r="AE40" i="14" s="1"/>
  <c r="AE47" i="14" a="1"/>
  <c r="AE47" i="14" s="1"/>
  <c r="AE48" i="14" a="1"/>
  <c r="AE48" i="14" s="1"/>
  <c r="AE49" i="14" a="1"/>
  <c r="AE49" i="14" s="1"/>
  <c r="AE50" i="14" a="1"/>
  <c r="AE50" i="14" s="1"/>
  <c r="AE51" i="14" a="1"/>
  <c r="AE51" i="14" s="1"/>
  <c r="AE52" i="14" a="1"/>
  <c r="AE52" i="14" s="1"/>
  <c r="AE53" i="14" a="1"/>
  <c r="AE53" i="14" s="1"/>
  <c r="AE54" i="14" a="1"/>
  <c r="AE54" i="14" s="1"/>
  <c r="AE55" i="14" a="1"/>
  <c r="AE55" i="14" s="1"/>
  <c r="AE56" i="14" a="1"/>
  <c r="AE56" i="14" s="1"/>
  <c r="AF14" i="14" a="1"/>
  <c r="AF14" i="14" s="1"/>
  <c r="AF15" i="14" a="1"/>
  <c r="AF15" i="14" s="1"/>
  <c r="AF16" i="14" a="1"/>
  <c r="AF16" i="14" s="1"/>
  <c r="AF17" i="14" a="1"/>
  <c r="AF17" i="14" s="1"/>
  <c r="AF18" i="14" a="1"/>
  <c r="AF18" i="14" s="1"/>
  <c r="AF19" i="14" a="1"/>
  <c r="AF19" i="14" s="1"/>
  <c r="AF25" i="14" a="1"/>
  <c r="AF25" i="14" s="1"/>
  <c r="AF26" i="14" a="1"/>
  <c r="AF26" i="14" s="1"/>
  <c r="AF27" i="14" a="1"/>
  <c r="AF27" i="14" s="1"/>
  <c r="AF28" i="14" a="1"/>
  <c r="AF28" i="14" s="1"/>
  <c r="AF29" i="14" a="1"/>
  <c r="AF29" i="14" s="1"/>
  <c r="AF30" i="14" a="1"/>
  <c r="AF30" i="14" s="1"/>
  <c r="AF31" i="14" a="1"/>
  <c r="AF31" i="14" s="1"/>
  <c r="AF32" i="14" a="1"/>
  <c r="AF32" i="14" s="1"/>
  <c r="AF33" i="14" a="1"/>
  <c r="AF33" i="14" s="1"/>
  <c r="AF34" i="14" a="1"/>
  <c r="AF34" i="14" s="1"/>
  <c r="AF35" i="14" a="1"/>
  <c r="AF35" i="14" s="1"/>
  <c r="AF36" i="14" a="1"/>
  <c r="AF36" i="14" s="1"/>
  <c r="AF37" i="14" a="1"/>
  <c r="AF37" i="14" s="1"/>
  <c r="AF38" i="14" a="1"/>
  <c r="AF38" i="14" s="1"/>
  <c r="AF39" i="14" a="1"/>
  <c r="AF39" i="14" s="1"/>
  <c r="AF40" i="14" a="1"/>
  <c r="AF40" i="14" s="1"/>
  <c r="AF47" i="14" a="1"/>
  <c r="AF47" i="14" s="1"/>
  <c r="AF48" i="14" a="1"/>
  <c r="AF48" i="14" s="1"/>
  <c r="AF49" i="14" a="1"/>
  <c r="AF49" i="14" s="1"/>
  <c r="AF50" i="14" a="1"/>
  <c r="AF50" i="14" s="1"/>
  <c r="AF51" i="14" a="1"/>
  <c r="AF51" i="14" s="1"/>
  <c r="AF52" i="14" a="1"/>
  <c r="AF52" i="14" s="1"/>
  <c r="AF53" i="14" a="1"/>
  <c r="AF53" i="14" s="1"/>
  <c r="AF54" i="14" a="1"/>
  <c r="AF54" i="14" s="1"/>
  <c r="AF55" i="14" a="1"/>
  <c r="AF55" i="14" s="1"/>
  <c r="AF56" i="14" a="1"/>
  <c r="AF56" i="14" s="1"/>
  <c r="AG14" i="14" a="1"/>
  <c r="AG14" i="14" s="1"/>
  <c r="AG15" i="14" a="1"/>
  <c r="AG15" i="14" s="1"/>
  <c r="AG16" i="14" a="1"/>
  <c r="AG16" i="14" s="1"/>
  <c r="AG17" i="14" a="1"/>
  <c r="AG17" i="14" s="1"/>
  <c r="AG18" i="14" a="1"/>
  <c r="AG18" i="14" s="1"/>
  <c r="AG19" i="14" a="1"/>
  <c r="AG19" i="14" s="1"/>
  <c r="AG25" i="14" a="1"/>
  <c r="AG25" i="14" s="1"/>
  <c r="AG26" i="14" a="1"/>
  <c r="AG26" i="14" s="1"/>
  <c r="AG27" i="14" a="1"/>
  <c r="AG27" i="14" s="1"/>
  <c r="AG28" i="14" a="1"/>
  <c r="AG28" i="14" s="1"/>
  <c r="AG29" i="14" a="1"/>
  <c r="AG29" i="14" s="1"/>
  <c r="AG30" i="14" a="1"/>
  <c r="AG30" i="14" s="1"/>
  <c r="AG31" i="14" a="1"/>
  <c r="AG31" i="14" s="1"/>
  <c r="AG32" i="14" a="1"/>
  <c r="AG32" i="14" s="1"/>
  <c r="AG33" i="14" a="1"/>
  <c r="AG33" i="14" s="1"/>
  <c r="AG34" i="14" a="1"/>
  <c r="AG34" i="14" s="1"/>
  <c r="AG35" i="14" a="1"/>
  <c r="AG35" i="14" s="1"/>
  <c r="AG36" i="14" a="1"/>
  <c r="AG36" i="14" s="1"/>
  <c r="AG37" i="14" a="1"/>
  <c r="AG37" i="14" s="1"/>
  <c r="AG38" i="14" a="1"/>
  <c r="AG38" i="14" s="1"/>
  <c r="AG39" i="14" a="1"/>
  <c r="AG39" i="14" s="1"/>
  <c r="AG40" i="14" a="1"/>
  <c r="AG40" i="14" s="1"/>
  <c r="AG47" i="14" a="1"/>
  <c r="AG47" i="14" s="1"/>
  <c r="AG48" i="14" a="1"/>
  <c r="AG48" i="14" s="1"/>
  <c r="AG49" i="14" a="1"/>
  <c r="AG49" i="14" s="1"/>
  <c r="AG50" i="14" a="1"/>
  <c r="AG50" i="14" s="1"/>
  <c r="AG51" i="14" a="1"/>
  <c r="AG51" i="14" s="1"/>
  <c r="AG52" i="14" a="1"/>
  <c r="AG52" i="14" s="1"/>
  <c r="AG53" i="14" a="1"/>
  <c r="AG53" i="14" s="1"/>
  <c r="AG54" i="14" a="1"/>
  <c r="AG54" i="14" s="1"/>
  <c r="AG55" i="14" a="1"/>
  <c r="AG55" i="14" s="1"/>
  <c r="AG56" i="14" a="1"/>
  <c r="AG56" i="14" s="1"/>
  <c r="E10" i="4" l="1"/>
  <c r="F11" i="9"/>
  <c r="F11" i="10"/>
  <c r="F8" i="5"/>
  <c r="D10" i="4" s="1"/>
  <c r="AD64" i="14" a="1"/>
  <c r="AD64" i="14" s="1"/>
  <c r="AE64" i="14" a="1"/>
  <c r="AE64" i="14" s="1"/>
  <c r="AF64" i="14" a="1"/>
  <c r="AF64" i="14" s="1"/>
  <c r="AG64" i="14" a="1"/>
  <c r="AG64" i="14" s="1"/>
  <c r="D12" i="14"/>
  <c r="E64" i="14" a="1"/>
  <c r="E64" i="14" s="1"/>
  <c r="O20" i="2" a="1"/>
  <c r="O20" i="2" s="1"/>
  <c r="P20" i="2" a="1"/>
  <c r="P20" i="2" s="1"/>
  <c r="AA20" i="2" s="1" a="1"/>
  <c r="AA20" i="2" s="1"/>
  <c r="Q20" i="2" a="1"/>
  <c r="Q20" i="2" s="1"/>
  <c r="AB20" i="2" s="1" a="1"/>
  <c r="AB20" i="2" s="1"/>
  <c r="R20" i="2" a="1"/>
  <c r="R20" i="2" s="1"/>
  <c r="AC20" i="2" s="1" a="1"/>
  <c r="AC20" i="2" s="1"/>
  <c r="S20" i="2" a="1"/>
  <c r="S20" i="2" s="1"/>
  <c r="AD20" i="2" s="1" a="1"/>
  <c r="AD20" i="2" s="1"/>
  <c r="T20" i="2" a="1"/>
  <c r="T20" i="2" s="1"/>
  <c r="AE20" i="2" s="1" a="1"/>
  <c r="AE20" i="2" s="1"/>
  <c r="U20" i="2" a="1"/>
  <c r="U20" i="2" s="1"/>
  <c r="AF20" i="2" s="1" a="1"/>
  <c r="AF20" i="2" s="1"/>
  <c r="V20" i="2" a="1"/>
  <c r="V20" i="2" s="1"/>
  <c r="AG20" i="2" s="1" a="1"/>
  <c r="AG20" i="2" s="1"/>
  <c r="W20" i="2" a="1"/>
  <c r="W20" i="2" s="1"/>
  <c r="AH20" i="2" s="1" a="1"/>
  <c r="AH20" i="2" s="1"/>
  <c r="X20" i="2" a="1"/>
  <c r="X20" i="2" s="1"/>
  <c r="AI20" i="2" s="1" a="1"/>
  <c r="AI20" i="2" s="1"/>
  <c r="O21" i="2" a="1"/>
  <c r="O21" i="2" s="1"/>
  <c r="P21" i="2" a="1"/>
  <c r="P21" i="2" s="1"/>
  <c r="Q21" i="2" a="1"/>
  <c r="Q21" i="2" s="1"/>
  <c r="R21" i="2" a="1"/>
  <c r="R21" i="2" s="1"/>
  <c r="AC21" i="2" s="1" a="1"/>
  <c r="AC21" i="2" s="1"/>
  <c r="S21" i="2" a="1"/>
  <c r="S21" i="2" s="1"/>
  <c r="AD21" i="2" s="1" a="1"/>
  <c r="AD21" i="2" s="1"/>
  <c r="T21" i="2" a="1"/>
  <c r="T21" i="2" s="1"/>
  <c r="AE21" i="2" s="1" a="1"/>
  <c r="AE21" i="2" s="1"/>
  <c r="U21" i="2" a="1"/>
  <c r="U21" i="2" s="1"/>
  <c r="AF21" i="2" s="1" a="1"/>
  <c r="AF21" i="2" s="1"/>
  <c r="V21" i="2" a="1"/>
  <c r="V21" i="2" s="1"/>
  <c r="AG21" i="2" s="1" a="1"/>
  <c r="AG21" i="2" s="1"/>
  <c r="W21" i="2" a="1"/>
  <c r="W21" i="2" s="1"/>
  <c r="AH21" i="2" s="1" a="1"/>
  <c r="AH21" i="2" s="1"/>
  <c r="X21" i="2" a="1"/>
  <c r="X21" i="2" s="1"/>
  <c r="AI21" i="2" s="1" a="1"/>
  <c r="AI21" i="2" s="1"/>
  <c r="N21" i="2" a="1"/>
  <c r="N21" i="2" s="1"/>
  <c r="N20" i="2" a="1"/>
  <c r="N20" i="2" s="1"/>
  <c r="G21" i="2" a="1"/>
  <c r="G21" i="2" s="1"/>
  <c r="G20" i="2" a="1"/>
  <c r="G20" i="2" s="1"/>
  <c r="F11" i="13"/>
  <c r="F11" i="12"/>
  <c r="F11" i="11"/>
  <c r="G13" i="11" a="1"/>
  <c r="G13" i="11" s="1"/>
  <c r="G37" i="13" a="1"/>
  <c r="G37" i="13" s="1"/>
  <c r="AI30" i="13" a="1"/>
  <c r="AI30" i="13" s="1"/>
  <c r="AH30" i="13" a="1"/>
  <c r="AH30" i="13" s="1"/>
  <c r="AG30" i="13" a="1"/>
  <c r="AG30" i="13" s="1"/>
  <c r="AF30" i="13" a="1"/>
  <c r="AF30" i="13" s="1"/>
  <c r="AE30" i="13" a="1"/>
  <c r="AE30" i="13" s="1"/>
  <c r="AD30" i="13" a="1"/>
  <c r="AD30" i="13" s="1"/>
  <c r="AC30" i="13" a="1"/>
  <c r="AC30" i="13" s="1"/>
  <c r="G30" i="13" a="1"/>
  <c r="G30" i="13" s="1"/>
  <c r="AI29" i="13" a="1"/>
  <c r="AI29" i="13" s="1"/>
  <c r="AH29" i="13" a="1"/>
  <c r="AH29" i="13" s="1"/>
  <c r="AG29" i="13" a="1"/>
  <c r="AG29" i="13" s="1"/>
  <c r="AF29" i="13" a="1"/>
  <c r="AF29" i="13" s="1"/>
  <c r="AE29" i="13" a="1"/>
  <c r="AE29" i="13" s="1"/>
  <c r="AD29" i="13" a="1"/>
  <c r="AD29" i="13" s="1"/>
  <c r="AC29" i="13" a="1"/>
  <c r="AC29" i="13" s="1"/>
  <c r="G29" i="13" a="1"/>
  <c r="G29" i="13" s="1"/>
  <c r="AI28" i="13" a="1"/>
  <c r="AI28" i="13" s="1"/>
  <c r="AH28" i="13" a="1"/>
  <c r="AH28" i="13" s="1"/>
  <c r="AG28" i="13" a="1"/>
  <c r="AG28" i="13" s="1"/>
  <c r="AF28" i="13" a="1"/>
  <c r="AF28" i="13" s="1"/>
  <c r="AE28" i="13" a="1"/>
  <c r="AE28" i="13" s="1"/>
  <c r="AD28" i="13" a="1"/>
  <c r="AD28" i="13" s="1"/>
  <c r="AC28" i="13" a="1"/>
  <c r="AC28" i="13" s="1"/>
  <c r="G28" i="13" a="1"/>
  <c r="G28" i="13" s="1"/>
  <c r="AI27" i="13" a="1"/>
  <c r="AI27" i="13" s="1"/>
  <c r="AH27" i="13" a="1"/>
  <c r="AH27" i="13" s="1"/>
  <c r="AG27" i="13" a="1"/>
  <c r="AG27" i="13" s="1"/>
  <c r="AF27" i="13" a="1"/>
  <c r="AF27" i="13" s="1"/>
  <c r="AE27" i="13" a="1"/>
  <c r="AE27" i="13" s="1"/>
  <c r="AD27" i="13" a="1"/>
  <c r="AD27" i="13" s="1"/>
  <c r="AC27" i="13" a="1"/>
  <c r="AC27" i="13" s="1"/>
  <c r="G27" i="13" a="1"/>
  <c r="G27" i="13" s="1"/>
  <c r="AI26" i="13" a="1"/>
  <c r="AI26" i="13" s="1"/>
  <c r="AH26" i="13" a="1"/>
  <c r="AH26" i="13" s="1"/>
  <c r="AG26" i="13" a="1"/>
  <c r="AG26" i="13" s="1"/>
  <c r="AF26" i="13" a="1"/>
  <c r="AF26" i="13" s="1"/>
  <c r="AE26" i="13" a="1"/>
  <c r="AE26" i="13" s="1"/>
  <c r="AD26" i="13" a="1"/>
  <c r="AD26" i="13" s="1"/>
  <c r="AC26" i="13" a="1"/>
  <c r="AC26" i="13" s="1"/>
  <c r="G26" i="13" a="1"/>
  <c r="G26" i="13" s="1"/>
  <c r="AI25" i="13" a="1"/>
  <c r="AI25" i="13" s="1"/>
  <c r="AH25" i="13" a="1"/>
  <c r="AH25" i="13" s="1"/>
  <c r="AG25" i="13" a="1"/>
  <c r="AG25" i="13" s="1"/>
  <c r="AF25" i="13" a="1"/>
  <c r="AF25" i="13" s="1"/>
  <c r="AE25" i="13" a="1"/>
  <c r="AE25" i="13" s="1"/>
  <c r="AD25" i="13" a="1"/>
  <c r="AD25" i="13" s="1"/>
  <c r="G25" i="13" a="1"/>
  <c r="G25" i="13" s="1"/>
  <c r="AI24" i="13" a="1"/>
  <c r="AI24" i="13" s="1"/>
  <c r="AH24" i="13" a="1"/>
  <c r="AH24" i="13" s="1"/>
  <c r="AG24" i="13" a="1"/>
  <c r="AG24" i="13" s="1"/>
  <c r="AF24" i="13" a="1"/>
  <c r="AF24" i="13" s="1"/>
  <c r="AE24" i="13" a="1"/>
  <c r="AE24" i="13" s="1"/>
  <c r="AD24" i="13" a="1"/>
  <c r="AD24" i="13" s="1"/>
  <c r="AC24" i="13" a="1"/>
  <c r="AC24" i="13" s="1"/>
  <c r="AB24" i="13" a="1"/>
  <c r="AB24" i="13" s="1"/>
  <c r="G24" i="13" a="1"/>
  <c r="G24" i="13" s="1"/>
  <c r="AI23" i="13" a="1"/>
  <c r="AI23" i="13" s="1"/>
  <c r="AH23" i="13" a="1"/>
  <c r="AH23" i="13" s="1"/>
  <c r="AG23" i="13" a="1"/>
  <c r="AG23" i="13" s="1"/>
  <c r="AF23" i="13" a="1"/>
  <c r="AF23" i="13" s="1"/>
  <c r="AE23" i="13" a="1"/>
  <c r="AE23" i="13" s="1"/>
  <c r="AD23" i="13" a="1"/>
  <c r="AD23" i="13" s="1"/>
  <c r="AC23" i="13" a="1"/>
  <c r="AC23" i="13" s="1"/>
  <c r="AB23" i="13" a="1"/>
  <c r="AB23" i="13" s="1"/>
  <c r="G23" i="13" a="1"/>
  <c r="G23" i="13" s="1"/>
  <c r="AI22" i="13" a="1"/>
  <c r="AI22" i="13" s="1"/>
  <c r="AH22" i="13" a="1"/>
  <c r="AH22" i="13" s="1"/>
  <c r="AG22" i="13" a="1"/>
  <c r="AG22" i="13" s="1"/>
  <c r="AF22" i="13" a="1"/>
  <c r="AF22" i="13" s="1"/>
  <c r="AE22" i="13" a="1"/>
  <c r="AE22" i="13" s="1"/>
  <c r="AD22" i="13" a="1"/>
  <c r="AD22" i="13" s="1"/>
  <c r="AC22" i="13" a="1"/>
  <c r="AC22" i="13" s="1"/>
  <c r="AB22" i="13" a="1"/>
  <c r="AB22" i="13" s="1"/>
  <c r="G22" i="13" a="1"/>
  <c r="G22" i="13" s="1"/>
  <c r="AI21" i="13" a="1"/>
  <c r="AI21" i="13" s="1"/>
  <c r="G21" i="13" a="1"/>
  <c r="G21" i="13" s="1"/>
  <c r="AI20" i="13" a="1"/>
  <c r="AI20" i="13" s="1"/>
  <c r="AH20" i="13" a="1"/>
  <c r="AH20" i="13" s="1"/>
  <c r="AG20" i="13" a="1"/>
  <c r="AG20" i="13" s="1"/>
  <c r="AF20" i="13" a="1"/>
  <c r="AF20" i="13" s="1"/>
  <c r="AE20" i="13" a="1"/>
  <c r="AE20" i="13" s="1"/>
  <c r="AD20" i="13" a="1"/>
  <c r="AD20" i="13" s="1"/>
  <c r="AC20" i="13" a="1"/>
  <c r="AC20" i="13" s="1"/>
  <c r="AB20" i="13" a="1"/>
  <c r="AB20" i="13" s="1"/>
  <c r="AA20" i="13" a="1"/>
  <c r="AA20" i="13" s="1"/>
  <c r="G20" i="13" a="1"/>
  <c r="G20" i="13" s="1"/>
  <c r="AI19" i="13" a="1"/>
  <c r="AI19" i="13" s="1"/>
  <c r="AH19" i="13" a="1"/>
  <c r="AH19" i="13" s="1"/>
  <c r="AG19" i="13" a="1"/>
  <c r="AG19" i="13" s="1"/>
  <c r="AF19" i="13" a="1"/>
  <c r="AF19" i="13" s="1"/>
  <c r="AE19" i="13" a="1"/>
  <c r="AE19" i="13" s="1"/>
  <c r="AD19" i="13" a="1"/>
  <c r="AD19" i="13" s="1"/>
  <c r="AC19" i="13" a="1"/>
  <c r="AC19" i="13" s="1"/>
  <c r="G19" i="13" a="1"/>
  <c r="G19" i="13" s="1"/>
  <c r="AI18" i="13" a="1"/>
  <c r="AI18" i="13" s="1"/>
  <c r="AH18" i="13" a="1"/>
  <c r="AH18" i="13" s="1"/>
  <c r="AG18" i="13" a="1"/>
  <c r="AG18" i="13" s="1"/>
  <c r="AF18" i="13" a="1"/>
  <c r="AF18" i="13" s="1"/>
  <c r="AE18" i="13" a="1"/>
  <c r="AE18" i="13" s="1"/>
  <c r="AD18" i="13" a="1"/>
  <c r="AD18" i="13" s="1"/>
  <c r="G18" i="13" a="1"/>
  <c r="G18" i="13" s="1"/>
  <c r="AI17" i="13" a="1"/>
  <c r="AI17" i="13" s="1"/>
  <c r="AH17" i="13" a="1"/>
  <c r="AH17" i="13" s="1"/>
  <c r="AG17" i="13" a="1"/>
  <c r="AG17" i="13" s="1"/>
  <c r="AF17" i="13" a="1"/>
  <c r="AF17" i="13" s="1"/>
  <c r="AE17" i="13" a="1"/>
  <c r="AE17" i="13" s="1"/>
  <c r="AD17" i="13" a="1"/>
  <c r="AD17" i="13" s="1"/>
  <c r="G17" i="13" a="1"/>
  <c r="G17" i="13" s="1"/>
  <c r="AI16" i="13" a="1"/>
  <c r="AI16" i="13" s="1"/>
  <c r="AH16" i="13" a="1"/>
  <c r="AH16" i="13" s="1"/>
  <c r="AG16" i="13" a="1"/>
  <c r="AG16" i="13" s="1"/>
  <c r="AF16" i="13" a="1"/>
  <c r="AF16" i="13" s="1"/>
  <c r="AE16" i="13" a="1"/>
  <c r="AE16" i="13" s="1"/>
  <c r="AD16" i="13" a="1"/>
  <c r="AD16" i="13" s="1"/>
  <c r="G16" i="13" a="1"/>
  <c r="G16" i="13" s="1"/>
  <c r="AI15" i="13" a="1"/>
  <c r="AI15" i="13" s="1"/>
  <c r="AH15" i="13" a="1"/>
  <c r="AH15" i="13" s="1"/>
  <c r="AG15" i="13" a="1"/>
  <c r="AG15" i="13" s="1"/>
  <c r="AF15" i="13" a="1"/>
  <c r="AF15" i="13" s="1"/>
  <c r="AE15" i="13" a="1"/>
  <c r="AE15" i="13" s="1"/>
  <c r="AD15" i="13" a="1"/>
  <c r="AD15" i="13" s="1"/>
  <c r="AC15" i="13" a="1"/>
  <c r="AC15" i="13" s="1"/>
  <c r="AB15" i="13" a="1"/>
  <c r="AB15" i="13" s="1"/>
  <c r="G15" i="13" a="1"/>
  <c r="G15" i="13" s="1"/>
  <c r="AI14" i="13" a="1"/>
  <c r="AI14" i="13" s="1"/>
  <c r="AH14" i="13" a="1"/>
  <c r="AH14" i="13" s="1"/>
  <c r="AG14" i="13" a="1"/>
  <c r="AG14" i="13" s="1"/>
  <c r="AF14" i="13" a="1"/>
  <c r="AF14" i="13" s="1"/>
  <c r="AE14" i="13" a="1"/>
  <c r="AE14" i="13" s="1"/>
  <c r="AD14" i="13" a="1"/>
  <c r="AD14" i="13" s="1"/>
  <c r="AC14" i="13" a="1"/>
  <c r="AC14" i="13" s="1"/>
  <c r="G14" i="13" a="1"/>
  <c r="G14" i="13" s="1"/>
  <c r="AI13" i="13" a="1"/>
  <c r="AI13" i="13" s="1"/>
  <c r="AH13" i="13" a="1"/>
  <c r="AH13" i="13" s="1"/>
  <c r="AG13" i="13" a="1"/>
  <c r="AG13" i="13" s="1"/>
  <c r="AF13" i="13" a="1"/>
  <c r="AF13" i="13" s="1"/>
  <c r="AE13" i="13" a="1"/>
  <c r="AE13" i="13" s="1"/>
  <c r="AD13" i="13" a="1"/>
  <c r="AD13" i="13" s="1"/>
  <c r="AC13" i="13" a="1"/>
  <c r="AC13" i="13" s="1"/>
  <c r="AB13" i="13" a="1"/>
  <c r="AB13" i="13" s="1"/>
  <c r="G13" i="13" a="1"/>
  <c r="G13" i="13" s="1"/>
  <c r="X31" i="12"/>
  <c r="X31" i="12" a="1"/>
  <c r="W31" i="12" a="1"/>
  <c r="W31" i="12" s="1"/>
  <c r="V31" i="12" a="1"/>
  <c r="V31" i="12" s="1"/>
  <c r="U31" i="12"/>
  <c r="U31" i="12" a="1"/>
  <c r="T31" i="12" a="1"/>
  <c r="T31" i="12" s="1"/>
  <c r="S31" i="12" a="1"/>
  <c r="S31" i="12" s="1"/>
  <c r="R31" i="12" a="1"/>
  <c r="R31" i="12" s="1"/>
  <c r="Q31" i="12"/>
  <c r="Q31" i="12" a="1"/>
  <c r="P31" i="12" a="1"/>
  <c r="P31" i="12" s="1"/>
  <c r="O31" i="12" a="1"/>
  <c r="O31" i="12" s="1"/>
  <c r="N31" i="12" a="1"/>
  <c r="N31" i="12" s="1"/>
  <c r="G31" i="12" a="1"/>
  <c r="G31" i="12" s="1"/>
  <c r="AI30" i="12" a="1"/>
  <c r="AI30" i="12" s="1"/>
  <c r="AE30" i="12" a="1"/>
  <c r="AE30" i="12" s="1"/>
  <c r="X30" i="12" a="1"/>
  <c r="X30" i="12" s="1"/>
  <c r="W30" i="12" a="1"/>
  <c r="W30" i="12" s="1"/>
  <c r="AH30" i="12" s="1" a="1"/>
  <c r="AH30" i="12" s="1"/>
  <c r="V30" i="12"/>
  <c r="AG30" i="12" s="1" a="1"/>
  <c r="AG30" i="12" s="1"/>
  <c r="V30" i="12" a="1"/>
  <c r="U30" i="12" a="1"/>
  <c r="U30" i="12" s="1"/>
  <c r="AF30" i="12" s="1" a="1"/>
  <c r="AF30" i="12" s="1"/>
  <c r="T30" i="12" a="1"/>
  <c r="T30" i="12" s="1"/>
  <c r="S30" i="12" a="1"/>
  <c r="S30" i="12" s="1"/>
  <c r="AD30" i="12" s="1" a="1"/>
  <c r="AD30" i="12" s="1"/>
  <c r="R30" i="12" a="1"/>
  <c r="R30" i="12" s="1"/>
  <c r="AC30" i="12" s="1" a="1"/>
  <c r="AC30" i="12" s="1"/>
  <c r="Q30" i="12"/>
  <c r="Q30" i="12" a="1"/>
  <c r="P30" i="12" a="1"/>
  <c r="P30" i="12" s="1"/>
  <c r="O30" i="12" a="1"/>
  <c r="O30" i="12" s="1"/>
  <c r="N30" i="12" a="1"/>
  <c r="N30" i="12" s="1"/>
  <c r="G30" i="12" a="1"/>
  <c r="G30" i="12" s="1"/>
  <c r="X29" i="12" a="1"/>
  <c r="X29" i="12" s="1"/>
  <c r="AI29" i="12" s="1" a="1"/>
  <c r="AI29" i="12" s="1"/>
  <c r="W29" i="12" a="1"/>
  <c r="W29" i="12" s="1"/>
  <c r="AH29" i="12" s="1" a="1"/>
  <c r="AH29" i="12" s="1"/>
  <c r="V29" i="12" a="1"/>
  <c r="V29" i="12" s="1"/>
  <c r="AG29" i="12" s="1" a="1"/>
  <c r="AG29" i="12" s="1"/>
  <c r="U29" i="12" a="1"/>
  <c r="U29" i="12" s="1"/>
  <c r="AF29" i="12" s="1" a="1"/>
  <c r="AF29" i="12" s="1"/>
  <c r="T29" i="12" a="1"/>
  <c r="T29" i="12" s="1"/>
  <c r="AE29" i="12" s="1" a="1"/>
  <c r="AE29" i="12" s="1"/>
  <c r="S29" i="12" a="1"/>
  <c r="S29" i="12" s="1"/>
  <c r="AD29" i="12" s="1" a="1"/>
  <c r="AD29" i="12" s="1"/>
  <c r="R29" i="12" a="1"/>
  <c r="R29" i="12" s="1"/>
  <c r="AC29" i="12" s="1" a="1"/>
  <c r="AC29" i="12" s="1"/>
  <c r="Q29" i="12" a="1"/>
  <c r="Q29" i="12" s="1"/>
  <c r="P29" i="12" a="1"/>
  <c r="P29" i="12" s="1"/>
  <c r="O29" i="12"/>
  <c r="O29" i="12" a="1"/>
  <c r="N29" i="12" a="1"/>
  <c r="N29" i="12" s="1"/>
  <c r="G29" i="12" a="1"/>
  <c r="G29" i="12" s="1"/>
  <c r="X28" i="12" a="1"/>
  <c r="X28" i="12" s="1"/>
  <c r="AI28" i="12" s="1" a="1"/>
  <c r="AI28" i="12" s="1"/>
  <c r="W28" i="12" a="1"/>
  <c r="W28" i="12" s="1"/>
  <c r="AH28" i="12" s="1" a="1"/>
  <c r="AH28" i="12" s="1"/>
  <c r="V28" i="12" a="1"/>
  <c r="V28" i="12" s="1"/>
  <c r="AG28" i="12" s="1" a="1"/>
  <c r="AG28" i="12" s="1"/>
  <c r="U28" i="12" a="1"/>
  <c r="U28" i="12" s="1"/>
  <c r="AF28" i="12" s="1" a="1"/>
  <c r="AF28" i="12" s="1"/>
  <c r="T28" i="12" a="1"/>
  <c r="T28" i="12" s="1"/>
  <c r="AE28" i="12" s="1" a="1"/>
  <c r="AE28" i="12" s="1"/>
  <c r="S28" i="12" a="1"/>
  <c r="S28" i="12" s="1"/>
  <c r="AD28" i="12" s="1" a="1"/>
  <c r="AD28" i="12" s="1"/>
  <c r="R28" i="12" a="1"/>
  <c r="R28" i="12" s="1"/>
  <c r="AC28" i="12" s="1" a="1"/>
  <c r="AC28" i="12" s="1"/>
  <c r="Q28" i="12" a="1"/>
  <c r="Q28" i="12" s="1"/>
  <c r="AB28" i="12" s="1" a="1"/>
  <c r="AB28" i="12" s="1"/>
  <c r="P28" i="12" a="1"/>
  <c r="P28" i="12" s="1"/>
  <c r="AA28" i="12" s="1" a="1"/>
  <c r="AA28" i="12" s="1"/>
  <c r="O28" i="12" a="1"/>
  <c r="O28" i="12" s="1"/>
  <c r="N28" i="12" a="1"/>
  <c r="N28" i="12" s="1"/>
  <c r="G28" i="12" a="1"/>
  <c r="G28" i="12" s="1"/>
  <c r="AD27" i="12" a="1"/>
  <c r="AD27" i="12" s="1"/>
  <c r="X27" i="12" a="1"/>
  <c r="X27" i="12" s="1"/>
  <c r="AI27" i="12" s="1" a="1"/>
  <c r="AI27" i="12" s="1"/>
  <c r="W27" i="12" a="1"/>
  <c r="W27" i="12" s="1"/>
  <c r="AH27" i="12" s="1" a="1"/>
  <c r="AH27" i="12" s="1"/>
  <c r="V27" i="12" a="1"/>
  <c r="V27" i="12" s="1"/>
  <c r="AG27" i="12" s="1" a="1"/>
  <c r="AG27" i="12" s="1"/>
  <c r="U27" i="12" a="1"/>
  <c r="U27" i="12" s="1"/>
  <c r="AF27" i="12" s="1" a="1"/>
  <c r="AF27" i="12" s="1"/>
  <c r="T27" i="12" a="1"/>
  <c r="T27" i="12" s="1"/>
  <c r="AE27" i="12" s="1" a="1"/>
  <c r="AE27" i="12" s="1"/>
  <c r="S27" i="12" a="1"/>
  <c r="S27" i="12" s="1"/>
  <c r="R27" i="12" a="1"/>
  <c r="R27" i="12" s="1"/>
  <c r="AC27" i="12" s="1" a="1"/>
  <c r="AC27" i="12" s="1"/>
  <c r="Q27" i="12"/>
  <c r="AB27" i="12" s="1" a="1"/>
  <c r="AB27" i="12" s="1"/>
  <c r="Q27" i="12" a="1"/>
  <c r="P27" i="12" a="1"/>
  <c r="P27" i="12" s="1"/>
  <c r="O27" i="12" a="1"/>
  <c r="O27" i="12" s="1"/>
  <c r="N27" i="12" a="1"/>
  <c r="N27" i="12" s="1"/>
  <c r="G27" i="12" a="1"/>
  <c r="G27" i="12" s="1"/>
  <c r="X26" i="12" a="1"/>
  <c r="X26" i="12" s="1"/>
  <c r="AI26" i="12" s="1" a="1"/>
  <c r="AI26" i="12" s="1"/>
  <c r="W26" i="12" a="1"/>
  <c r="W26" i="12" s="1"/>
  <c r="AH26" i="12" s="1" a="1"/>
  <c r="AH26" i="12" s="1"/>
  <c r="V26" i="12" a="1"/>
  <c r="V26" i="12" s="1"/>
  <c r="AG26" i="12" s="1" a="1"/>
  <c r="AG26" i="12" s="1"/>
  <c r="U26" i="12" a="1"/>
  <c r="U26" i="12" s="1"/>
  <c r="AF26" i="12" s="1" a="1"/>
  <c r="AF26" i="12" s="1"/>
  <c r="T26" i="12" a="1"/>
  <c r="T26" i="12" s="1"/>
  <c r="AE26" i="12" s="1" a="1"/>
  <c r="AE26" i="12" s="1"/>
  <c r="S26" i="12" a="1"/>
  <c r="S26" i="12" s="1"/>
  <c r="AD26" i="12" s="1" a="1"/>
  <c r="AD26" i="12" s="1"/>
  <c r="R26" i="12" a="1"/>
  <c r="R26" i="12" s="1"/>
  <c r="AC26" i="12" s="1" a="1"/>
  <c r="AC26" i="12" s="1"/>
  <c r="Q26" i="12" a="1"/>
  <c r="Q26" i="12" s="1"/>
  <c r="AB26" i="12" s="1" a="1"/>
  <c r="AB26" i="12" s="1"/>
  <c r="P26" i="12" a="1"/>
  <c r="P26" i="12" s="1"/>
  <c r="O26" i="12" a="1"/>
  <c r="O26" i="12" s="1"/>
  <c r="N26" i="12" a="1"/>
  <c r="N26" i="12" s="1"/>
  <c r="G26" i="12" a="1"/>
  <c r="G26" i="12" s="1"/>
  <c r="X25" i="12" a="1"/>
  <c r="X25" i="12" s="1"/>
  <c r="AI25" i="12" s="1" a="1"/>
  <c r="AI25" i="12" s="1"/>
  <c r="W25" i="12" a="1"/>
  <c r="W25" i="12" s="1"/>
  <c r="AH25" i="12" s="1" a="1"/>
  <c r="AH25" i="12" s="1"/>
  <c r="V25" i="12" a="1"/>
  <c r="V25" i="12" s="1"/>
  <c r="AG25" i="12" s="1" a="1"/>
  <c r="AG25" i="12" s="1"/>
  <c r="U25" i="12" a="1"/>
  <c r="U25" i="12" s="1"/>
  <c r="AF25" i="12" s="1" a="1"/>
  <c r="AF25" i="12" s="1"/>
  <c r="T25" i="12" a="1"/>
  <c r="T25" i="12" s="1"/>
  <c r="AE25" i="12" s="1" a="1"/>
  <c r="AE25" i="12" s="1"/>
  <c r="S25" i="12" a="1"/>
  <c r="S25" i="12" s="1"/>
  <c r="AD25" i="12" s="1" a="1"/>
  <c r="AD25" i="12" s="1"/>
  <c r="R25" i="12" a="1"/>
  <c r="R25" i="12" s="1"/>
  <c r="AC25" i="12" s="1" a="1"/>
  <c r="AC25" i="12" s="1"/>
  <c r="Q25" i="12" a="1"/>
  <c r="Q25" i="12" s="1"/>
  <c r="P25" i="12" a="1"/>
  <c r="P25" i="12" s="1"/>
  <c r="O25" i="12" a="1"/>
  <c r="O25" i="12" s="1"/>
  <c r="N25" i="12" a="1"/>
  <c r="N25" i="12" s="1"/>
  <c r="G25" i="12" a="1"/>
  <c r="G25" i="12" s="1"/>
  <c r="X24" i="12" a="1"/>
  <c r="X24" i="12" s="1"/>
  <c r="AI24" i="12" s="1" a="1"/>
  <c r="AI24" i="12" s="1"/>
  <c r="W24" i="12" a="1"/>
  <c r="W24" i="12" s="1"/>
  <c r="AH24" i="12" s="1" a="1"/>
  <c r="AH24" i="12" s="1"/>
  <c r="V24" i="12" a="1"/>
  <c r="V24" i="12" s="1"/>
  <c r="AG24" i="12" s="1" a="1"/>
  <c r="AG24" i="12" s="1"/>
  <c r="U24" i="12" a="1"/>
  <c r="U24" i="12" s="1"/>
  <c r="AF24" i="12" s="1" a="1"/>
  <c r="AF24" i="12" s="1"/>
  <c r="T24" i="12" a="1"/>
  <c r="T24" i="12" s="1"/>
  <c r="AE24" i="12" s="1" a="1"/>
  <c r="AE24" i="12" s="1"/>
  <c r="S24" i="12" a="1"/>
  <c r="S24" i="12" s="1"/>
  <c r="AD24" i="12" s="1" a="1"/>
  <c r="AD24" i="12" s="1"/>
  <c r="R24" i="12" a="1"/>
  <c r="R24" i="12" s="1"/>
  <c r="AC24" i="12" s="1" a="1"/>
  <c r="AC24" i="12" s="1"/>
  <c r="Q24" i="12" a="1"/>
  <c r="Q24" i="12" s="1"/>
  <c r="AB24" i="12" s="1" a="1"/>
  <c r="AB24" i="12" s="1"/>
  <c r="P24" i="12" a="1"/>
  <c r="P24" i="12" s="1"/>
  <c r="O24" i="12" a="1"/>
  <c r="O24" i="12" s="1"/>
  <c r="N24" i="12" a="1"/>
  <c r="N24" i="12" s="1"/>
  <c r="G24" i="12" a="1"/>
  <c r="G24" i="12" s="1"/>
  <c r="X23" i="12" a="1"/>
  <c r="X23" i="12" s="1"/>
  <c r="AI23" i="12" s="1" a="1"/>
  <c r="AI23" i="12" s="1"/>
  <c r="W23" i="12" a="1"/>
  <c r="W23" i="12" s="1"/>
  <c r="AH23" i="12" s="1" a="1"/>
  <c r="AH23" i="12" s="1"/>
  <c r="V23" i="12" a="1"/>
  <c r="V23" i="12" s="1"/>
  <c r="AG23" i="12" s="1" a="1"/>
  <c r="AG23" i="12" s="1"/>
  <c r="U23" i="12" a="1"/>
  <c r="U23" i="12" s="1"/>
  <c r="AF23" i="12" s="1" a="1"/>
  <c r="AF23" i="12" s="1"/>
  <c r="T23" i="12" a="1"/>
  <c r="T23" i="12" s="1"/>
  <c r="AE23" i="12" s="1" a="1"/>
  <c r="AE23" i="12" s="1"/>
  <c r="S23" i="12" a="1"/>
  <c r="S23" i="12" s="1"/>
  <c r="AD23" i="12" s="1" a="1"/>
  <c r="AD23" i="12" s="1"/>
  <c r="R23" i="12" a="1"/>
  <c r="R23" i="12" s="1"/>
  <c r="AC23" i="12" s="1" a="1"/>
  <c r="AC23" i="12" s="1"/>
  <c r="Q23" i="12" a="1"/>
  <c r="Q23" i="12" s="1"/>
  <c r="AB23" i="12" s="1" a="1"/>
  <c r="AB23" i="12" s="1"/>
  <c r="P23" i="12" a="1"/>
  <c r="P23" i="12" s="1"/>
  <c r="O23" i="12" a="1"/>
  <c r="O23" i="12" s="1"/>
  <c r="N23" i="12" a="1"/>
  <c r="N23" i="12" s="1"/>
  <c r="G23" i="12" a="1"/>
  <c r="G23" i="12" s="1"/>
  <c r="X22" i="12" a="1"/>
  <c r="X22" i="12" s="1"/>
  <c r="AI22" i="12" s="1" a="1"/>
  <c r="AI22" i="12" s="1"/>
  <c r="W22" i="12" a="1"/>
  <c r="W22" i="12" s="1"/>
  <c r="AH22" i="12" s="1" a="1"/>
  <c r="AH22" i="12" s="1"/>
  <c r="V22" i="12" a="1"/>
  <c r="V22" i="12" s="1"/>
  <c r="AG22" i="12" s="1" a="1"/>
  <c r="AG22" i="12" s="1"/>
  <c r="U22" i="12" a="1"/>
  <c r="U22" i="12" s="1"/>
  <c r="AF22" i="12" s="1" a="1"/>
  <c r="AF22" i="12" s="1"/>
  <c r="T22" i="12" a="1"/>
  <c r="T22" i="12" s="1"/>
  <c r="AE22" i="12" s="1" a="1"/>
  <c r="AE22" i="12" s="1"/>
  <c r="S22" i="12" a="1"/>
  <c r="S22" i="12" s="1"/>
  <c r="AD22" i="12" s="1" a="1"/>
  <c r="AD22" i="12" s="1"/>
  <c r="R22" i="12" a="1"/>
  <c r="R22" i="12" s="1"/>
  <c r="AC22" i="12" s="1" a="1"/>
  <c r="AC22" i="12" s="1"/>
  <c r="Q22" i="12" a="1"/>
  <c r="Q22" i="12" s="1"/>
  <c r="AB22" i="12" s="1" a="1"/>
  <c r="AB22" i="12" s="1"/>
  <c r="P22" i="12" a="1"/>
  <c r="P22" i="12" s="1"/>
  <c r="O22" i="12" a="1"/>
  <c r="O22" i="12" s="1"/>
  <c r="N22" i="12" a="1"/>
  <c r="N22" i="12" s="1"/>
  <c r="G22" i="12" a="1"/>
  <c r="G22" i="12" s="1"/>
  <c r="X21" i="12" a="1"/>
  <c r="X21" i="12" s="1"/>
  <c r="AI21" i="12" s="1" a="1"/>
  <c r="AI21" i="12" s="1"/>
  <c r="W21" i="12" a="1"/>
  <c r="W21" i="12" s="1"/>
  <c r="AH21" i="12" s="1" a="1"/>
  <c r="AH21" i="12" s="1"/>
  <c r="V21" i="12" a="1"/>
  <c r="V21" i="12" s="1"/>
  <c r="AG21" i="12" s="1" a="1"/>
  <c r="AG21" i="12" s="1"/>
  <c r="U21" i="12" a="1"/>
  <c r="U21" i="12" s="1"/>
  <c r="AF21" i="12" s="1" a="1"/>
  <c r="AF21" i="12" s="1"/>
  <c r="T21" i="12" a="1"/>
  <c r="T21" i="12" s="1"/>
  <c r="AE21" i="12" s="1" a="1"/>
  <c r="AE21" i="12" s="1"/>
  <c r="S21" i="12" a="1"/>
  <c r="S21" i="12" s="1"/>
  <c r="AD21" i="12" s="1" a="1"/>
  <c r="AD21" i="12" s="1"/>
  <c r="R21" i="12" a="1"/>
  <c r="R21" i="12" s="1"/>
  <c r="AC21" i="12" s="1" a="1"/>
  <c r="AC21" i="12" s="1"/>
  <c r="Q21" i="12" a="1"/>
  <c r="Q21" i="12" s="1"/>
  <c r="AB21" i="12" s="1" a="1"/>
  <c r="AB21" i="12" s="1"/>
  <c r="P21" i="12" a="1"/>
  <c r="P21" i="12" s="1"/>
  <c r="AA21" i="12" s="1" a="1"/>
  <c r="AA21" i="12" s="1"/>
  <c r="O21" i="12" a="1"/>
  <c r="O21" i="12" s="1"/>
  <c r="N21" i="12" a="1"/>
  <c r="N21" i="12" s="1"/>
  <c r="G21" i="12" a="1"/>
  <c r="G21" i="12" s="1"/>
  <c r="X20" i="12" a="1"/>
  <c r="X20" i="12" s="1"/>
  <c r="AI20" i="12" s="1" a="1"/>
  <c r="AI20" i="12" s="1"/>
  <c r="W20" i="12" a="1"/>
  <c r="W20" i="12" s="1"/>
  <c r="AH20" i="12" s="1" a="1"/>
  <c r="AH20" i="12" s="1"/>
  <c r="V20" i="12" a="1"/>
  <c r="V20" i="12" s="1"/>
  <c r="AG20" i="12" s="1" a="1"/>
  <c r="AG20" i="12" s="1"/>
  <c r="U20" i="12" a="1"/>
  <c r="U20" i="12" s="1"/>
  <c r="AF20" i="12" s="1" a="1"/>
  <c r="AF20" i="12" s="1"/>
  <c r="T20" i="12" a="1"/>
  <c r="T20" i="12" s="1"/>
  <c r="AE20" i="12" s="1" a="1"/>
  <c r="AE20" i="12" s="1"/>
  <c r="S20" i="12" a="1"/>
  <c r="S20" i="12" s="1"/>
  <c r="AD20" i="12" s="1" a="1"/>
  <c r="AD20" i="12" s="1"/>
  <c r="R20" i="12" a="1"/>
  <c r="R20" i="12" s="1"/>
  <c r="AC20" i="12" s="1" a="1"/>
  <c r="AC20" i="12" s="1"/>
  <c r="Q20" i="12" a="1"/>
  <c r="Q20" i="12" s="1"/>
  <c r="AB20" i="12" s="1" a="1"/>
  <c r="AB20" i="12" s="1"/>
  <c r="P20" i="12" a="1"/>
  <c r="P20" i="12" s="1"/>
  <c r="AA20" i="12" s="1" a="1"/>
  <c r="AA20" i="12" s="1"/>
  <c r="O20" i="12" a="1"/>
  <c r="O20" i="12" s="1"/>
  <c r="N20" i="12" a="1"/>
  <c r="N20" i="12" s="1"/>
  <c r="G20" i="12"/>
  <c r="G20" i="12" a="1"/>
  <c r="X19" i="12" a="1"/>
  <c r="X19" i="12" s="1"/>
  <c r="AI19" i="12" s="1" a="1"/>
  <c r="AI19" i="12" s="1"/>
  <c r="W19" i="12" a="1"/>
  <c r="W19" i="12" s="1"/>
  <c r="AH19" i="12" s="1" a="1"/>
  <c r="AH19" i="12" s="1"/>
  <c r="V19" i="12" a="1"/>
  <c r="V19" i="12" s="1"/>
  <c r="AG19" i="12" s="1" a="1"/>
  <c r="AG19" i="12" s="1"/>
  <c r="U19" i="12" a="1"/>
  <c r="U19" i="12" s="1"/>
  <c r="AF19" i="12" s="1" a="1"/>
  <c r="AF19" i="12" s="1"/>
  <c r="T19" i="12" a="1"/>
  <c r="T19" i="12" s="1"/>
  <c r="AE19" i="12" s="1" a="1"/>
  <c r="AE19" i="12" s="1"/>
  <c r="S19" i="12" a="1"/>
  <c r="S19" i="12" s="1"/>
  <c r="AD19" i="12" s="1" a="1"/>
  <c r="AD19" i="12" s="1"/>
  <c r="R19" i="12" a="1"/>
  <c r="R19" i="12" s="1"/>
  <c r="AC19" i="12" s="1" a="1"/>
  <c r="AC19" i="12" s="1"/>
  <c r="Q19" i="12" a="1"/>
  <c r="Q19" i="12" s="1"/>
  <c r="P19" i="12" a="1"/>
  <c r="P19" i="12" s="1"/>
  <c r="O19" i="12" a="1"/>
  <c r="O19" i="12" s="1"/>
  <c r="N19" i="12" a="1"/>
  <c r="N19" i="12" s="1"/>
  <c r="G19" i="12" a="1"/>
  <c r="G19" i="12" s="1"/>
  <c r="X18" i="12" a="1"/>
  <c r="X18" i="12" s="1"/>
  <c r="AI18" i="12" s="1" a="1"/>
  <c r="AI18" i="12" s="1"/>
  <c r="W18" i="12" a="1"/>
  <c r="W18" i="12" s="1"/>
  <c r="AH18" i="12" s="1" a="1"/>
  <c r="AH18" i="12" s="1"/>
  <c r="V18" i="12" a="1"/>
  <c r="V18" i="12" s="1"/>
  <c r="AG18" i="12" s="1" a="1"/>
  <c r="AG18" i="12" s="1"/>
  <c r="U18" i="12" a="1"/>
  <c r="U18" i="12" s="1"/>
  <c r="AF18" i="12" s="1" a="1"/>
  <c r="AF18" i="12" s="1"/>
  <c r="T18" i="12" a="1"/>
  <c r="T18" i="12" s="1"/>
  <c r="AE18" i="12" s="1" a="1"/>
  <c r="AE18" i="12" s="1"/>
  <c r="S18" i="12" a="1"/>
  <c r="S18" i="12" s="1"/>
  <c r="AD18" i="12" s="1" a="1"/>
  <c r="AD18" i="12" s="1"/>
  <c r="R18" i="12" a="1"/>
  <c r="R18" i="12" s="1"/>
  <c r="Q18" i="12" a="1"/>
  <c r="Q18" i="12" s="1"/>
  <c r="P18" i="12" a="1"/>
  <c r="P18" i="12" s="1"/>
  <c r="O18" i="12" a="1"/>
  <c r="O18" i="12" s="1"/>
  <c r="N18" i="12" a="1"/>
  <c r="N18" i="12" s="1"/>
  <c r="G18" i="12"/>
  <c r="G18" i="12" a="1"/>
  <c r="X17" i="12" a="1"/>
  <c r="X17" i="12" s="1"/>
  <c r="AI17" i="12" s="1" a="1"/>
  <c r="AI17" i="12" s="1"/>
  <c r="W17" i="12" a="1"/>
  <c r="W17" i="12" s="1"/>
  <c r="AH17" i="12" s="1" a="1"/>
  <c r="AH17" i="12" s="1"/>
  <c r="V17" i="12" a="1"/>
  <c r="V17" i="12" s="1"/>
  <c r="AG17" i="12" s="1" a="1"/>
  <c r="AG17" i="12" s="1"/>
  <c r="U17" i="12" a="1"/>
  <c r="U17" i="12" s="1"/>
  <c r="AF17" i="12" s="1" a="1"/>
  <c r="AF17" i="12" s="1"/>
  <c r="T17" i="12" a="1"/>
  <c r="T17" i="12" s="1"/>
  <c r="AE17" i="12" s="1" a="1"/>
  <c r="AE17" i="12" s="1"/>
  <c r="S17" i="12" a="1"/>
  <c r="S17" i="12" s="1"/>
  <c r="AD17" i="12" s="1" a="1"/>
  <c r="AD17" i="12" s="1"/>
  <c r="R17" i="12" a="1"/>
  <c r="R17" i="12" s="1"/>
  <c r="Q17" i="12" a="1"/>
  <c r="Q17" i="12" s="1"/>
  <c r="P17" i="12" a="1"/>
  <c r="P17" i="12" s="1"/>
  <c r="O17" i="12" a="1"/>
  <c r="O17" i="12" s="1"/>
  <c r="N17" i="12" a="1"/>
  <c r="N17" i="12" s="1"/>
  <c r="G17" i="12" a="1"/>
  <c r="G17" i="12" s="1"/>
  <c r="X16" i="12" a="1"/>
  <c r="X16" i="12" s="1"/>
  <c r="AI16" i="12" s="1" a="1"/>
  <c r="AI16" i="12" s="1"/>
  <c r="W16" i="12" a="1"/>
  <c r="W16" i="12" s="1"/>
  <c r="AH16" i="12" s="1" a="1"/>
  <c r="AH16" i="12" s="1"/>
  <c r="V16" i="12" a="1"/>
  <c r="V16" i="12" s="1"/>
  <c r="AG16" i="12" s="1" a="1"/>
  <c r="AG16" i="12" s="1"/>
  <c r="U16" i="12" a="1"/>
  <c r="U16" i="12" s="1"/>
  <c r="AF16" i="12" s="1" a="1"/>
  <c r="AF16" i="12" s="1"/>
  <c r="T16" i="12" a="1"/>
  <c r="T16" i="12" s="1"/>
  <c r="AE16" i="12" s="1" a="1"/>
  <c r="AE16" i="12" s="1"/>
  <c r="S16" i="12" a="1"/>
  <c r="S16" i="12" s="1"/>
  <c r="AD16" i="12" s="1" a="1"/>
  <c r="AD16" i="12" s="1"/>
  <c r="R16" i="12" a="1"/>
  <c r="R16" i="12" s="1"/>
  <c r="AC16" i="12" s="1" a="1"/>
  <c r="AC16" i="12" s="1"/>
  <c r="Q16" i="12" a="1"/>
  <c r="Q16" i="12" s="1"/>
  <c r="AB16" i="12" s="1" a="1"/>
  <c r="AB16" i="12" s="1"/>
  <c r="P16" i="12" a="1"/>
  <c r="P16" i="12" s="1"/>
  <c r="AA16" i="12" s="1" a="1"/>
  <c r="AA16" i="12" s="1"/>
  <c r="O16" i="12" a="1"/>
  <c r="O16" i="12" s="1"/>
  <c r="N16" i="12" a="1"/>
  <c r="N16" i="12" s="1"/>
  <c r="G16" i="12" a="1"/>
  <c r="G16" i="12" s="1"/>
  <c r="X15" i="12" a="1"/>
  <c r="X15" i="12" s="1"/>
  <c r="AI15" i="12" s="1" a="1"/>
  <c r="AI15" i="12" s="1"/>
  <c r="W15" i="12" a="1"/>
  <c r="W15" i="12" s="1"/>
  <c r="AH15" i="12" s="1" a="1"/>
  <c r="AH15" i="12" s="1"/>
  <c r="V15" i="12" a="1"/>
  <c r="V15" i="12" s="1"/>
  <c r="AG15" i="12" s="1" a="1"/>
  <c r="AG15" i="12" s="1"/>
  <c r="U15" i="12" a="1"/>
  <c r="U15" i="12" s="1"/>
  <c r="AF15" i="12" s="1" a="1"/>
  <c r="AF15" i="12" s="1"/>
  <c r="T15" i="12" a="1"/>
  <c r="T15" i="12" s="1"/>
  <c r="AE15" i="12" s="1" a="1"/>
  <c r="AE15" i="12" s="1"/>
  <c r="S15" i="12" a="1"/>
  <c r="S15" i="12" s="1"/>
  <c r="AD15" i="12" s="1" a="1"/>
  <c r="AD15" i="12" s="1"/>
  <c r="R15" i="12" a="1"/>
  <c r="R15" i="12" s="1"/>
  <c r="AC15" i="12" s="1" a="1"/>
  <c r="AC15" i="12" s="1"/>
  <c r="Q15" i="12" a="1"/>
  <c r="Q15" i="12" s="1"/>
  <c r="AB15" i="12" s="1" a="1"/>
  <c r="AB15" i="12" s="1"/>
  <c r="P15" i="12" a="1"/>
  <c r="P15" i="12" s="1"/>
  <c r="O15" i="12" a="1"/>
  <c r="O15" i="12" s="1"/>
  <c r="N15" i="12" a="1"/>
  <c r="N15" i="12" s="1"/>
  <c r="G15" i="12"/>
  <c r="G15" i="12" a="1"/>
  <c r="X14" i="12" a="1"/>
  <c r="X14" i="12" s="1"/>
  <c r="AI14" i="12" s="1" a="1"/>
  <c r="AI14" i="12" s="1"/>
  <c r="W14" i="12" a="1"/>
  <c r="W14" i="12" s="1"/>
  <c r="AH14" i="12" s="1" a="1"/>
  <c r="AH14" i="12" s="1"/>
  <c r="V14" i="12" a="1"/>
  <c r="V14" i="12" s="1"/>
  <c r="AG14" i="12" s="1" a="1"/>
  <c r="AG14" i="12" s="1"/>
  <c r="U14" i="12" a="1"/>
  <c r="U14" i="12" s="1"/>
  <c r="AF14" i="12" s="1" a="1"/>
  <c r="AF14" i="12" s="1"/>
  <c r="T14" i="12" a="1"/>
  <c r="T14" i="12" s="1"/>
  <c r="AE14" i="12" s="1" a="1"/>
  <c r="AE14" i="12" s="1"/>
  <c r="S14" i="12" a="1"/>
  <c r="S14" i="12" s="1"/>
  <c r="AD14" i="12" s="1" a="1"/>
  <c r="AD14" i="12" s="1"/>
  <c r="R14" i="12" a="1"/>
  <c r="R14" i="12" s="1"/>
  <c r="AC14" i="12" s="1" a="1"/>
  <c r="AC14" i="12" s="1"/>
  <c r="Q14" i="12" a="1"/>
  <c r="Q14" i="12" s="1"/>
  <c r="P14" i="12" a="1"/>
  <c r="P14" i="12" s="1"/>
  <c r="O14" i="12" a="1"/>
  <c r="O14" i="12" s="1"/>
  <c r="N14" i="12" a="1"/>
  <c r="N14" i="12" s="1"/>
  <c r="G14" i="12"/>
  <c r="G14" i="12" a="1"/>
  <c r="X13" i="12" a="1"/>
  <c r="X13" i="12" s="1"/>
  <c r="AI13" i="12" s="1" a="1"/>
  <c r="AI13" i="12" s="1"/>
  <c r="W13" i="12" a="1"/>
  <c r="W13" i="12" s="1"/>
  <c r="AH13" i="12" s="1" a="1"/>
  <c r="AH13" i="12" s="1"/>
  <c r="V13" i="12" a="1"/>
  <c r="V13" i="12" s="1"/>
  <c r="AG13" i="12" s="1" a="1"/>
  <c r="AG13" i="12" s="1"/>
  <c r="U13" i="12" a="1"/>
  <c r="U13" i="12" s="1"/>
  <c r="AF13" i="12" s="1" a="1"/>
  <c r="AF13" i="12" s="1"/>
  <c r="T13" i="12" a="1"/>
  <c r="T13" i="12" s="1"/>
  <c r="AE13" i="12" s="1" a="1"/>
  <c r="AE13" i="12" s="1"/>
  <c r="S13" i="12" a="1"/>
  <c r="S13" i="12" s="1"/>
  <c r="AD13" i="12" s="1" a="1"/>
  <c r="AD13" i="12" s="1"/>
  <c r="R13" i="12" a="1"/>
  <c r="R13" i="12" s="1"/>
  <c r="AC13" i="12" s="1" a="1"/>
  <c r="AC13" i="12" s="1"/>
  <c r="Q13" i="12" a="1"/>
  <c r="Q13" i="12" s="1"/>
  <c r="AB13" i="12" s="1" a="1"/>
  <c r="AB13" i="12" s="1"/>
  <c r="P13" i="12" a="1"/>
  <c r="P13" i="12" s="1"/>
  <c r="AA13" i="12" s="1" a="1"/>
  <c r="AA13" i="12" s="1"/>
  <c r="O13" i="12" a="1"/>
  <c r="O13" i="12" s="1"/>
  <c r="N13" i="12" a="1"/>
  <c r="N13" i="12" s="1"/>
  <c r="G13" i="12" a="1"/>
  <c r="G13" i="12" s="1"/>
  <c r="X14" i="11" a="1"/>
  <c r="X14" i="11" s="1"/>
  <c r="AI14" i="11" s="1" a="1"/>
  <c r="AI14" i="11" s="1"/>
  <c r="W14" i="11" a="1"/>
  <c r="W14" i="11" s="1"/>
  <c r="AH14" i="11" s="1" a="1"/>
  <c r="AH14" i="11" s="1"/>
  <c r="V14" i="11" a="1"/>
  <c r="V14" i="11" s="1"/>
  <c r="AG14" i="11" s="1" a="1"/>
  <c r="AG14" i="11" s="1"/>
  <c r="U14" i="11" a="1"/>
  <c r="U14" i="11" s="1"/>
  <c r="AF14" i="11" s="1" a="1"/>
  <c r="AF14" i="11" s="1"/>
  <c r="T14" i="11" a="1"/>
  <c r="T14" i="11" s="1"/>
  <c r="AE14" i="11" s="1" a="1"/>
  <c r="AE14" i="11" s="1"/>
  <c r="S14" i="11" a="1"/>
  <c r="S14" i="11" s="1"/>
  <c r="AD14" i="11" s="1" a="1"/>
  <c r="AD14" i="11" s="1"/>
  <c r="R14" i="11" a="1"/>
  <c r="R14" i="11" s="1"/>
  <c r="AC14" i="11" s="1" a="1"/>
  <c r="AC14" i="11" s="1"/>
  <c r="Q14" i="11" a="1"/>
  <c r="Q14" i="11" s="1"/>
  <c r="P14" i="11" a="1"/>
  <c r="P14" i="11" s="1"/>
  <c r="O14" i="11" a="1"/>
  <c r="O14" i="11" s="1"/>
  <c r="N14" i="11" a="1"/>
  <c r="N14" i="11" s="1"/>
  <c r="G14" i="11" a="1"/>
  <c r="G14" i="11" s="1"/>
  <c r="X13" i="11" a="1"/>
  <c r="X13" i="11" s="1"/>
  <c r="AI13" i="11" s="1" a="1"/>
  <c r="AI13" i="11" s="1"/>
  <c r="W13" i="11" a="1"/>
  <c r="W13" i="11" s="1"/>
  <c r="AH13" i="11" s="1" a="1"/>
  <c r="AH13" i="11" s="1"/>
  <c r="V13" i="11" a="1"/>
  <c r="V13" i="11" s="1"/>
  <c r="AG13" i="11" s="1" a="1"/>
  <c r="AG13" i="11" s="1"/>
  <c r="U13" i="11" a="1"/>
  <c r="U13" i="11" s="1"/>
  <c r="AF13" i="11" s="1" a="1"/>
  <c r="AF13" i="11" s="1"/>
  <c r="T13" i="11" a="1"/>
  <c r="T13" i="11" s="1"/>
  <c r="AE13" i="11" s="1" a="1"/>
  <c r="AE13" i="11" s="1"/>
  <c r="S13" i="11" a="1"/>
  <c r="S13" i="11" s="1"/>
  <c r="AD13" i="11" s="1" a="1"/>
  <c r="AD13" i="11" s="1"/>
  <c r="R13" i="11" a="1"/>
  <c r="R13" i="11" s="1"/>
  <c r="AC13" i="11" s="1" a="1"/>
  <c r="AC13" i="11" s="1"/>
  <c r="Q13" i="11" a="1"/>
  <c r="Q13" i="11" s="1"/>
  <c r="AB13" i="11" s="1" a="1"/>
  <c r="AB13" i="11" s="1"/>
  <c r="P13" i="11" a="1"/>
  <c r="P13" i="11" s="1"/>
  <c r="AA13" i="11" s="1" a="1"/>
  <c r="AA13" i="11" s="1"/>
  <c r="O13" i="11" a="1"/>
  <c r="O13" i="11" s="1"/>
  <c r="N13" i="11" a="1"/>
  <c r="N13" i="11" s="1"/>
  <c r="G25" i="10" a="1"/>
  <c r="G25" i="10" s="1"/>
  <c r="X24" i="10" a="1"/>
  <c r="X24" i="10" s="1"/>
  <c r="AI24" i="10" s="1" a="1"/>
  <c r="AI24" i="10" s="1"/>
  <c r="W24" i="10" a="1"/>
  <c r="W24" i="10" s="1"/>
  <c r="AH24" i="10" s="1" a="1"/>
  <c r="AH24" i="10" s="1"/>
  <c r="V24" i="10" a="1"/>
  <c r="V24" i="10" s="1"/>
  <c r="AG24" i="10" s="1" a="1"/>
  <c r="AG24" i="10" s="1"/>
  <c r="U24" i="10" a="1"/>
  <c r="U24" i="10" s="1"/>
  <c r="AF24" i="10" s="1" a="1"/>
  <c r="AF24" i="10" s="1"/>
  <c r="T24" i="10" a="1"/>
  <c r="T24" i="10" s="1"/>
  <c r="AE24" i="10" s="1" a="1"/>
  <c r="AE24" i="10" s="1"/>
  <c r="S24" i="10" a="1"/>
  <c r="S24" i="10" s="1"/>
  <c r="AD24" i="10" s="1" a="1"/>
  <c r="AD24" i="10" s="1"/>
  <c r="R24" i="10" a="1"/>
  <c r="R24" i="10" s="1"/>
  <c r="AC24" i="10" s="1" a="1"/>
  <c r="AC24" i="10" s="1"/>
  <c r="Q24" i="10" a="1"/>
  <c r="Q24" i="10" s="1"/>
  <c r="AB24" i="10" s="1" a="1"/>
  <c r="AB24" i="10" s="1"/>
  <c r="P24" i="10" a="1"/>
  <c r="P24" i="10" s="1"/>
  <c r="O24" i="10" a="1"/>
  <c r="O24" i="10" s="1"/>
  <c r="G24" i="10" a="1"/>
  <c r="G24" i="10" s="1"/>
  <c r="X22" i="10" a="1"/>
  <c r="X22" i="10" s="1"/>
  <c r="AI22" i="10" s="1" a="1"/>
  <c r="AI22" i="10" s="1"/>
  <c r="W22" i="10" a="1"/>
  <c r="W22" i="10" s="1"/>
  <c r="AH22" i="10" s="1" a="1"/>
  <c r="AH22" i="10" s="1"/>
  <c r="V22" i="10" a="1"/>
  <c r="V22" i="10" s="1"/>
  <c r="AG22" i="10" s="1" a="1"/>
  <c r="AG22" i="10" s="1"/>
  <c r="U22" i="10" a="1"/>
  <c r="U22" i="10" s="1"/>
  <c r="AF22" i="10" s="1" a="1"/>
  <c r="AF22" i="10" s="1"/>
  <c r="T22" i="10" a="1"/>
  <c r="T22" i="10" s="1"/>
  <c r="AE22" i="10" s="1" a="1"/>
  <c r="AE22" i="10" s="1"/>
  <c r="S22" i="10" a="1"/>
  <c r="S22" i="10" s="1"/>
  <c r="AD22" i="10" s="1" a="1"/>
  <c r="AD22" i="10" s="1"/>
  <c r="R22" i="10" a="1"/>
  <c r="R22" i="10" s="1"/>
  <c r="AC22" i="10" s="1" a="1"/>
  <c r="AC22" i="10" s="1"/>
  <c r="Q22" i="10" a="1"/>
  <c r="Q22" i="10" s="1"/>
  <c r="AB22" i="10" s="1" a="1"/>
  <c r="AB22" i="10" s="1"/>
  <c r="P22" i="10" a="1"/>
  <c r="P22" i="10" s="1"/>
  <c r="O22" i="10" a="1"/>
  <c r="O22" i="10" s="1"/>
  <c r="G22" i="10" a="1"/>
  <c r="G22" i="10" s="1"/>
  <c r="X20" i="10" a="1"/>
  <c r="X20" i="10" s="1"/>
  <c r="AI20" i="10" s="1" a="1"/>
  <c r="AI20" i="10" s="1"/>
  <c r="W20" i="10" a="1"/>
  <c r="W20" i="10" s="1"/>
  <c r="AH20" i="10" s="1" a="1"/>
  <c r="AH20" i="10" s="1"/>
  <c r="V20" i="10" a="1"/>
  <c r="V20" i="10" s="1"/>
  <c r="AG20" i="10" s="1" a="1"/>
  <c r="AG20" i="10" s="1"/>
  <c r="U20" i="10" a="1"/>
  <c r="U20" i="10" s="1"/>
  <c r="AF20" i="10" s="1" a="1"/>
  <c r="AF20" i="10" s="1"/>
  <c r="T20" i="10" a="1"/>
  <c r="T20" i="10" s="1"/>
  <c r="AE20" i="10" s="1" a="1"/>
  <c r="AE20" i="10" s="1"/>
  <c r="S20" i="10" a="1"/>
  <c r="S20" i="10" s="1"/>
  <c r="AD20" i="10" s="1" a="1"/>
  <c r="AD20" i="10" s="1"/>
  <c r="R20" i="10" a="1"/>
  <c r="R20" i="10" s="1"/>
  <c r="AC20" i="10" s="1" a="1"/>
  <c r="AC20" i="10" s="1"/>
  <c r="Q20" i="10" a="1"/>
  <c r="Q20" i="10" s="1"/>
  <c r="P20" i="10" a="1"/>
  <c r="P20" i="10" s="1"/>
  <c r="O20" i="10" a="1"/>
  <c r="O20" i="10" s="1"/>
  <c r="G20" i="10" a="1"/>
  <c r="G20" i="10" s="1"/>
  <c r="X19" i="10" a="1"/>
  <c r="X19" i="10" s="1"/>
  <c r="AI19" i="10" s="1" a="1"/>
  <c r="AI19" i="10" s="1"/>
  <c r="W19" i="10" a="1"/>
  <c r="W19" i="10" s="1"/>
  <c r="AH19" i="10" s="1" a="1"/>
  <c r="AH19" i="10" s="1"/>
  <c r="V19" i="10" a="1"/>
  <c r="V19" i="10" s="1"/>
  <c r="AG19" i="10" s="1" a="1"/>
  <c r="AG19" i="10" s="1"/>
  <c r="U19" i="10" a="1"/>
  <c r="U19" i="10" s="1"/>
  <c r="AF19" i="10" s="1" a="1"/>
  <c r="AF19" i="10" s="1"/>
  <c r="T19" i="10" a="1"/>
  <c r="T19" i="10" s="1"/>
  <c r="AE19" i="10" s="1" a="1"/>
  <c r="AE19" i="10" s="1"/>
  <c r="S19" i="10" a="1"/>
  <c r="S19" i="10" s="1"/>
  <c r="AD19" i="10" s="1" a="1"/>
  <c r="AD19" i="10" s="1"/>
  <c r="R19" i="10" a="1"/>
  <c r="R19" i="10" s="1"/>
  <c r="Q19" i="10" a="1"/>
  <c r="Q19" i="10" s="1"/>
  <c r="P19" i="10" a="1"/>
  <c r="P19" i="10" s="1"/>
  <c r="O19" i="10" a="1"/>
  <c r="O19" i="10" s="1"/>
  <c r="G19" i="10" a="1"/>
  <c r="G19" i="10" s="1"/>
  <c r="X18" i="10" a="1"/>
  <c r="X18" i="10" s="1"/>
  <c r="AI18" i="10" s="1" a="1"/>
  <c r="AI18" i="10" s="1"/>
  <c r="W18" i="10" a="1"/>
  <c r="W18" i="10" s="1"/>
  <c r="AH18" i="10" s="1" a="1"/>
  <c r="AH18" i="10" s="1"/>
  <c r="V18" i="10" a="1"/>
  <c r="V18" i="10" s="1"/>
  <c r="AG18" i="10" s="1" a="1"/>
  <c r="AG18" i="10" s="1"/>
  <c r="U18" i="10" a="1"/>
  <c r="U18" i="10" s="1"/>
  <c r="AF18" i="10" s="1" a="1"/>
  <c r="AF18" i="10" s="1"/>
  <c r="T18" i="10" a="1"/>
  <c r="T18" i="10" s="1"/>
  <c r="AE18" i="10" s="1" a="1"/>
  <c r="AE18" i="10" s="1"/>
  <c r="S18" i="10" a="1"/>
  <c r="S18" i="10" s="1"/>
  <c r="AD18" i="10" s="1" a="1"/>
  <c r="AD18" i="10" s="1"/>
  <c r="R18" i="10" a="1"/>
  <c r="R18" i="10" s="1"/>
  <c r="Q18" i="10" a="1"/>
  <c r="Q18" i="10" s="1"/>
  <c r="P18" i="10" a="1"/>
  <c r="P18" i="10" s="1"/>
  <c r="O18" i="10" a="1"/>
  <c r="O18" i="10" s="1"/>
  <c r="G18" i="10" a="1"/>
  <c r="G18" i="10" s="1"/>
  <c r="X16" i="10" a="1"/>
  <c r="X16" i="10" s="1"/>
  <c r="AI16" i="10" s="1" a="1"/>
  <c r="AI16" i="10" s="1"/>
  <c r="W16" i="10" a="1"/>
  <c r="W16" i="10" s="1"/>
  <c r="AH16" i="10" s="1" a="1"/>
  <c r="AH16" i="10" s="1"/>
  <c r="V16" i="10" a="1"/>
  <c r="V16" i="10" s="1"/>
  <c r="AG16" i="10" s="1" a="1"/>
  <c r="AG16" i="10" s="1"/>
  <c r="U16" i="10" a="1"/>
  <c r="U16" i="10" s="1"/>
  <c r="AF16" i="10" s="1" a="1"/>
  <c r="AF16" i="10" s="1"/>
  <c r="T16" i="10" a="1"/>
  <c r="T16" i="10" s="1"/>
  <c r="AE16" i="10" s="1" a="1"/>
  <c r="AE16" i="10" s="1"/>
  <c r="S16" i="10" a="1"/>
  <c r="S16" i="10" s="1"/>
  <c r="AD16" i="10" s="1" a="1"/>
  <c r="AD16" i="10" s="1"/>
  <c r="R16" i="10" a="1"/>
  <c r="R16" i="10" s="1"/>
  <c r="AC16" i="10" s="1" a="1"/>
  <c r="AC16" i="10" s="1"/>
  <c r="Q16" i="10" a="1"/>
  <c r="Q16" i="10" s="1"/>
  <c r="AB16" i="10" s="1" a="1"/>
  <c r="AB16" i="10" s="1"/>
  <c r="P16" i="10" a="1"/>
  <c r="P16" i="10" s="1"/>
  <c r="O16" i="10" a="1"/>
  <c r="O16" i="10" s="1"/>
  <c r="G16" i="10" a="1"/>
  <c r="G16" i="10" s="1"/>
  <c r="X15" i="10" a="1"/>
  <c r="X15" i="10" s="1"/>
  <c r="AI15" i="10" s="1" a="1"/>
  <c r="AI15" i="10" s="1"/>
  <c r="W15" i="10" a="1"/>
  <c r="W15" i="10" s="1"/>
  <c r="AH15" i="10" s="1" a="1"/>
  <c r="AH15" i="10" s="1"/>
  <c r="V15" i="10" a="1"/>
  <c r="V15" i="10" s="1"/>
  <c r="AG15" i="10" s="1" a="1"/>
  <c r="AG15" i="10" s="1"/>
  <c r="U15" i="10" a="1"/>
  <c r="U15" i="10" s="1"/>
  <c r="AF15" i="10" s="1" a="1"/>
  <c r="AF15" i="10" s="1"/>
  <c r="T15" i="10" a="1"/>
  <c r="T15" i="10" s="1"/>
  <c r="AE15" i="10" s="1" a="1"/>
  <c r="AE15" i="10" s="1"/>
  <c r="S15" i="10" a="1"/>
  <c r="S15" i="10" s="1"/>
  <c r="AD15" i="10" s="1" a="1"/>
  <c r="AD15" i="10" s="1"/>
  <c r="R15" i="10" a="1"/>
  <c r="R15" i="10" s="1"/>
  <c r="AC15" i="10" s="1" a="1"/>
  <c r="AC15" i="10" s="1"/>
  <c r="Q15" i="10" a="1"/>
  <c r="Q15" i="10" s="1"/>
  <c r="AB15" i="10" s="1" a="1"/>
  <c r="AB15" i="10" s="1"/>
  <c r="P15" i="10" a="1"/>
  <c r="P15" i="10" s="1"/>
  <c r="O15" i="10" a="1"/>
  <c r="O15" i="10" s="1"/>
  <c r="G15" i="10" a="1"/>
  <c r="G15" i="10" s="1"/>
  <c r="X14" i="10" a="1"/>
  <c r="X14" i="10" s="1"/>
  <c r="AI14" i="10" s="1" a="1"/>
  <c r="AI14" i="10" s="1"/>
  <c r="W14" i="10" a="1"/>
  <c r="W14" i="10" s="1"/>
  <c r="AH14" i="10" s="1" a="1"/>
  <c r="AH14" i="10" s="1"/>
  <c r="V14" i="10" a="1"/>
  <c r="V14" i="10" s="1"/>
  <c r="AG14" i="10" s="1" a="1"/>
  <c r="AG14" i="10" s="1"/>
  <c r="U14" i="10" a="1"/>
  <c r="U14" i="10" s="1"/>
  <c r="AF14" i="10" s="1" a="1"/>
  <c r="AF14" i="10" s="1"/>
  <c r="T14" i="10" a="1"/>
  <c r="T14" i="10" s="1"/>
  <c r="AE14" i="10" s="1" a="1"/>
  <c r="AE14" i="10" s="1"/>
  <c r="S14" i="10" a="1"/>
  <c r="S14" i="10" s="1"/>
  <c r="AD14" i="10" s="1" a="1"/>
  <c r="AD14" i="10" s="1"/>
  <c r="R14" i="10" a="1"/>
  <c r="R14" i="10" s="1"/>
  <c r="AC14" i="10" s="1" a="1"/>
  <c r="AC14" i="10" s="1"/>
  <c r="Q14" i="10" a="1"/>
  <c r="Q14" i="10" s="1"/>
  <c r="P14" i="10" a="1"/>
  <c r="P14" i="10" s="1"/>
  <c r="O14" i="10" a="1"/>
  <c r="O14" i="10" s="1"/>
  <c r="G14" i="10" a="1"/>
  <c r="G14" i="10" s="1"/>
  <c r="X13" i="10" a="1"/>
  <c r="X13" i="10" s="1"/>
  <c r="AI13" i="10" s="1" a="1"/>
  <c r="AI13" i="10" s="1"/>
  <c r="W13" i="10" a="1"/>
  <c r="W13" i="10" s="1"/>
  <c r="AH13" i="10" s="1" a="1"/>
  <c r="AH13" i="10" s="1"/>
  <c r="V13" i="10" a="1"/>
  <c r="V13" i="10" s="1"/>
  <c r="AG13" i="10" s="1" a="1"/>
  <c r="AG13" i="10" s="1"/>
  <c r="U13" i="10" a="1"/>
  <c r="U13" i="10" s="1"/>
  <c r="AF13" i="10" s="1" a="1"/>
  <c r="AF13" i="10" s="1"/>
  <c r="T13" i="10" a="1"/>
  <c r="T13" i="10" s="1"/>
  <c r="AE13" i="10" s="1" a="1"/>
  <c r="AE13" i="10" s="1"/>
  <c r="S13" i="10" a="1"/>
  <c r="S13" i="10" s="1"/>
  <c r="AD13" i="10" s="1" a="1"/>
  <c r="AD13" i="10" s="1"/>
  <c r="R13" i="10" a="1"/>
  <c r="R13" i="10" s="1"/>
  <c r="AC13" i="10" s="1" a="1"/>
  <c r="AC13" i="10" s="1"/>
  <c r="Q13" i="10" a="1"/>
  <c r="Q13" i="10" s="1"/>
  <c r="AB13" i="10" s="1" a="1"/>
  <c r="AB13" i="10" s="1"/>
  <c r="P13" i="10" a="1"/>
  <c r="P13" i="10" s="1"/>
  <c r="O13" i="10" a="1"/>
  <c r="O13" i="10" s="1"/>
  <c r="G13" i="10" a="1"/>
  <c r="G13" i="10" s="1"/>
  <c r="F21" i="1"/>
  <c r="F11" i="8"/>
  <c r="X31" i="9" a="1"/>
  <c r="X31" i="9" s="1"/>
  <c r="W31" i="9" a="1"/>
  <c r="W31" i="9" s="1"/>
  <c r="V31" i="9" a="1"/>
  <c r="V31" i="9" s="1"/>
  <c r="U31" i="9" a="1"/>
  <c r="U31" i="9" s="1"/>
  <c r="T31" i="9" a="1"/>
  <c r="T31" i="9" s="1"/>
  <c r="S31" i="9" a="1"/>
  <c r="S31" i="9" s="1"/>
  <c r="R31" i="9" a="1"/>
  <c r="R31" i="9" s="1"/>
  <c r="Q31" i="9"/>
  <c r="Q31" i="9" a="1"/>
  <c r="P31" i="9" a="1"/>
  <c r="P31" i="9" s="1"/>
  <c r="O31" i="9" a="1"/>
  <c r="O31" i="9" s="1"/>
  <c r="N31" i="9" a="1"/>
  <c r="N31" i="9" s="1"/>
  <c r="G31" i="9" a="1"/>
  <c r="G31" i="9" s="1"/>
  <c r="AI30" i="9" a="1"/>
  <c r="AI30" i="9" s="1"/>
  <c r="X30" i="9" a="1"/>
  <c r="X30" i="9" s="1"/>
  <c r="W30" i="9" a="1"/>
  <c r="W30" i="9" s="1"/>
  <c r="AH30" i="9" s="1" a="1"/>
  <c r="AH30" i="9" s="1"/>
  <c r="V30" i="9"/>
  <c r="AG30" i="9" s="1" a="1"/>
  <c r="AG30" i="9" s="1"/>
  <c r="V30" i="9" a="1"/>
  <c r="U30" i="9"/>
  <c r="AF30" i="9" s="1" a="1"/>
  <c r="AF30" i="9" s="1"/>
  <c r="U30" i="9" a="1"/>
  <c r="T30" i="9" a="1"/>
  <c r="T30" i="9" s="1"/>
  <c r="AE30" i="9" s="1" a="1"/>
  <c r="AE30" i="9" s="1"/>
  <c r="S30" i="9" a="1"/>
  <c r="S30" i="9" s="1"/>
  <c r="AD30" i="9" s="1" a="1"/>
  <c r="AD30" i="9" s="1"/>
  <c r="R30" i="9" a="1"/>
  <c r="R30" i="9" s="1"/>
  <c r="AC30" i="9" s="1" a="1"/>
  <c r="AC30" i="9" s="1"/>
  <c r="Q30" i="9"/>
  <c r="Q30" i="9" a="1"/>
  <c r="P30" i="9" a="1"/>
  <c r="P30" i="9" s="1"/>
  <c r="O30" i="9" a="1"/>
  <c r="O30" i="9" s="1"/>
  <c r="N30" i="9" a="1"/>
  <c r="N30" i="9" s="1"/>
  <c r="G30" i="9" a="1"/>
  <c r="G30" i="9" s="1"/>
  <c r="X29" i="9" a="1"/>
  <c r="X29" i="9" s="1"/>
  <c r="AI29" i="9" s="1" a="1"/>
  <c r="AI29" i="9" s="1"/>
  <c r="W29" i="9" a="1"/>
  <c r="W29" i="9" s="1"/>
  <c r="AH29" i="9" s="1" a="1"/>
  <c r="AH29" i="9" s="1"/>
  <c r="V29" i="9" a="1"/>
  <c r="V29" i="9" s="1"/>
  <c r="AG29" i="9" s="1" a="1"/>
  <c r="AG29" i="9" s="1"/>
  <c r="U29" i="9" a="1"/>
  <c r="U29" i="9" s="1"/>
  <c r="AF29" i="9" s="1" a="1"/>
  <c r="AF29" i="9" s="1"/>
  <c r="T29" i="9" a="1"/>
  <c r="T29" i="9" s="1"/>
  <c r="AE29" i="9" s="1" a="1"/>
  <c r="AE29" i="9" s="1"/>
  <c r="S29" i="9"/>
  <c r="AD29" i="9" s="1" a="1"/>
  <c r="AD29" i="9" s="1"/>
  <c r="S29" i="9" a="1"/>
  <c r="R29" i="9" a="1"/>
  <c r="R29" i="9" s="1"/>
  <c r="AC29" i="9" s="1" a="1"/>
  <c r="AC29" i="9" s="1"/>
  <c r="Q29" i="9" a="1"/>
  <c r="Q29" i="9" s="1"/>
  <c r="P29" i="9" a="1"/>
  <c r="P29" i="9" s="1"/>
  <c r="O29" i="9"/>
  <c r="O29" i="9" a="1"/>
  <c r="N29" i="9" a="1"/>
  <c r="N29" i="9" s="1"/>
  <c r="G29" i="9" a="1"/>
  <c r="G29" i="9" s="1"/>
  <c r="X28" i="9" a="1"/>
  <c r="X28" i="9" s="1"/>
  <c r="AI28" i="9" s="1" a="1"/>
  <c r="AI28" i="9" s="1"/>
  <c r="W28" i="9" a="1"/>
  <c r="W28" i="9" s="1"/>
  <c r="AH28" i="9" s="1" a="1"/>
  <c r="AH28" i="9" s="1"/>
  <c r="V28" i="9" a="1"/>
  <c r="V28" i="9" s="1"/>
  <c r="AG28" i="9" s="1" a="1"/>
  <c r="AG28" i="9" s="1"/>
  <c r="U28" i="9" a="1"/>
  <c r="U28" i="9" s="1"/>
  <c r="AF28" i="9" s="1" a="1"/>
  <c r="AF28" i="9" s="1"/>
  <c r="T28" i="9" a="1"/>
  <c r="T28" i="9" s="1"/>
  <c r="AE28" i="9" s="1" a="1"/>
  <c r="AE28" i="9" s="1"/>
  <c r="S28" i="9" a="1"/>
  <c r="S28" i="9" s="1"/>
  <c r="AD28" i="9" s="1" a="1"/>
  <c r="AD28" i="9" s="1"/>
  <c r="R28" i="9" a="1"/>
  <c r="R28" i="9" s="1"/>
  <c r="AC28" i="9" s="1" a="1"/>
  <c r="AC28" i="9" s="1"/>
  <c r="Q28" i="9" a="1"/>
  <c r="Q28" i="9" s="1"/>
  <c r="AB28" i="9" s="1" a="1"/>
  <c r="AB28" i="9" s="1"/>
  <c r="P28" i="9" a="1"/>
  <c r="P28" i="9" s="1"/>
  <c r="AA28" i="9" s="1" a="1"/>
  <c r="AA28" i="9" s="1"/>
  <c r="O28" i="9" a="1"/>
  <c r="O28" i="9" s="1"/>
  <c r="N28" i="9" a="1"/>
  <c r="N28" i="9" s="1"/>
  <c r="G28" i="9" a="1"/>
  <c r="G28" i="9" s="1"/>
  <c r="AD27" i="9" a="1"/>
  <c r="AD27" i="9" s="1"/>
  <c r="X27" i="9" a="1"/>
  <c r="X27" i="9" s="1"/>
  <c r="AI27" i="9" s="1" a="1"/>
  <c r="AI27" i="9" s="1"/>
  <c r="W27" i="9" a="1"/>
  <c r="W27" i="9" s="1"/>
  <c r="AH27" i="9" s="1" a="1"/>
  <c r="AH27" i="9" s="1"/>
  <c r="V27" i="9" a="1"/>
  <c r="V27" i="9" s="1"/>
  <c r="AG27" i="9" s="1" a="1"/>
  <c r="AG27" i="9" s="1"/>
  <c r="U27" i="9" a="1"/>
  <c r="U27" i="9" s="1"/>
  <c r="AF27" i="9" s="1" a="1"/>
  <c r="AF27" i="9" s="1"/>
  <c r="T27" i="9" a="1"/>
  <c r="T27" i="9" s="1"/>
  <c r="AE27" i="9" s="1" a="1"/>
  <c r="AE27" i="9" s="1"/>
  <c r="S27" i="9" a="1"/>
  <c r="S27" i="9" s="1"/>
  <c r="R27" i="9" a="1"/>
  <c r="R27" i="9" s="1"/>
  <c r="AC27" i="9" s="1" a="1"/>
  <c r="AC27" i="9" s="1"/>
  <c r="Q27" i="9"/>
  <c r="AB27" i="9" s="1" a="1"/>
  <c r="AB27" i="9" s="1"/>
  <c r="Q27" i="9" a="1"/>
  <c r="P27" i="9" a="1"/>
  <c r="P27" i="9" s="1"/>
  <c r="O27" i="9" a="1"/>
  <c r="O27" i="9" s="1"/>
  <c r="N27" i="9" a="1"/>
  <c r="N27" i="9" s="1"/>
  <c r="G27" i="9" a="1"/>
  <c r="G27" i="9" s="1"/>
  <c r="X26" i="9" a="1"/>
  <c r="X26" i="9" s="1"/>
  <c r="AI26" i="9" s="1" a="1"/>
  <c r="AI26" i="9" s="1"/>
  <c r="W26" i="9" a="1"/>
  <c r="W26" i="9" s="1"/>
  <c r="AH26" i="9" s="1" a="1"/>
  <c r="AH26" i="9" s="1"/>
  <c r="V26" i="9" a="1"/>
  <c r="V26" i="9" s="1"/>
  <c r="AG26" i="9" s="1" a="1"/>
  <c r="AG26" i="9" s="1"/>
  <c r="U26" i="9" a="1"/>
  <c r="U26" i="9" s="1"/>
  <c r="AF26" i="9" s="1" a="1"/>
  <c r="AF26" i="9" s="1"/>
  <c r="T26" i="9" a="1"/>
  <c r="T26" i="9" s="1"/>
  <c r="AE26" i="9" s="1" a="1"/>
  <c r="AE26" i="9" s="1"/>
  <c r="S26" i="9" a="1"/>
  <c r="S26" i="9" s="1"/>
  <c r="AD26" i="9" s="1" a="1"/>
  <c r="AD26" i="9" s="1"/>
  <c r="R26" i="9" a="1"/>
  <c r="R26" i="9" s="1"/>
  <c r="AC26" i="9" s="1" a="1"/>
  <c r="AC26" i="9" s="1"/>
  <c r="Q26" i="9" a="1"/>
  <c r="Q26" i="9" s="1"/>
  <c r="AB26" i="9" s="1" a="1"/>
  <c r="AB26" i="9" s="1"/>
  <c r="P26" i="9" a="1"/>
  <c r="P26" i="9" s="1"/>
  <c r="O26" i="9" a="1"/>
  <c r="O26" i="9" s="1"/>
  <c r="N26" i="9" a="1"/>
  <c r="N26" i="9" s="1"/>
  <c r="G26" i="9" a="1"/>
  <c r="G26" i="9" s="1"/>
  <c r="X25" i="9" a="1"/>
  <c r="X25" i="9" s="1"/>
  <c r="AI25" i="9" s="1" a="1"/>
  <c r="AI25" i="9" s="1"/>
  <c r="W25" i="9" a="1"/>
  <c r="W25" i="9" s="1"/>
  <c r="AH25" i="9" s="1" a="1"/>
  <c r="AH25" i="9" s="1"/>
  <c r="V25" i="9" a="1"/>
  <c r="V25" i="9" s="1"/>
  <c r="AG25" i="9" s="1" a="1"/>
  <c r="AG25" i="9" s="1"/>
  <c r="U25" i="9" a="1"/>
  <c r="U25" i="9" s="1"/>
  <c r="AF25" i="9" s="1" a="1"/>
  <c r="AF25" i="9" s="1"/>
  <c r="T25" i="9" a="1"/>
  <c r="T25" i="9" s="1"/>
  <c r="AE25" i="9" s="1" a="1"/>
  <c r="AE25" i="9" s="1"/>
  <c r="S25" i="9" a="1"/>
  <c r="S25" i="9" s="1"/>
  <c r="AD25" i="9" s="1" a="1"/>
  <c r="AD25" i="9" s="1"/>
  <c r="R25" i="9" a="1"/>
  <c r="R25" i="9" s="1"/>
  <c r="AC25" i="9" s="1" a="1"/>
  <c r="AC25" i="9" s="1"/>
  <c r="Q25" i="9" a="1"/>
  <c r="Q25" i="9" s="1"/>
  <c r="P25" i="9" a="1"/>
  <c r="P25" i="9" s="1"/>
  <c r="O25" i="9" a="1"/>
  <c r="O25" i="9" s="1"/>
  <c r="N25" i="9" a="1"/>
  <c r="N25" i="9" s="1"/>
  <c r="G25" i="9" a="1"/>
  <c r="G25" i="9" s="1"/>
  <c r="X24" i="9" a="1"/>
  <c r="X24" i="9" s="1"/>
  <c r="AI24" i="9" s="1" a="1"/>
  <c r="AI24" i="9" s="1"/>
  <c r="W24" i="9" a="1"/>
  <c r="W24" i="9" s="1"/>
  <c r="AH24" i="9" s="1" a="1"/>
  <c r="AH24" i="9" s="1"/>
  <c r="V24" i="9" a="1"/>
  <c r="V24" i="9" s="1"/>
  <c r="AG24" i="9" s="1" a="1"/>
  <c r="AG24" i="9" s="1"/>
  <c r="U24" i="9" a="1"/>
  <c r="U24" i="9" s="1"/>
  <c r="AF24" i="9" s="1" a="1"/>
  <c r="AF24" i="9" s="1"/>
  <c r="T24" i="9" a="1"/>
  <c r="T24" i="9" s="1"/>
  <c r="AE24" i="9" s="1" a="1"/>
  <c r="AE24" i="9" s="1"/>
  <c r="S24" i="9" a="1"/>
  <c r="S24" i="9" s="1"/>
  <c r="AD24" i="9" s="1" a="1"/>
  <c r="AD24" i="9" s="1"/>
  <c r="R24" i="9" a="1"/>
  <c r="R24" i="9" s="1"/>
  <c r="AC24" i="9" s="1" a="1"/>
  <c r="AC24" i="9" s="1"/>
  <c r="Q24" i="9" a="1"/>
  <c r="Q24" i="9" s="1"/>
  <c r="AB24" i="9" s="1" a="1"/>
  <c r="AB24" i="9" s="1"/>
  <c r="P24" i="9" a="1"/>
  <c r="P24" i="9" s="1"/>
  <c r="O24" i="9" a="1"/>
  <c r="O24" i="9" s="1"/>
  <c r="N24" i="9" a="1"/>
  <c r="N24" i="9" s="1"/>
  <c r="G24" i="9" a="1"/>
  <c r="G24" i="9" s="1"/>
  <c r="X23" i="9" a="1"/>
  <c r="X23" i="9" s="1"/>
  <c r="AI23" i="9" s="1" a="1"/>
  <c r="AI23" i="9" s="1"/>
  <c r="W23" i="9" a="1"/>
  <c r="W23" i="9" s="1"/>
  <c r="AH23" i="9" s="1" a="1"/>
  <c r="AH23" i="9" s="1"/>
  <c r="V23" i="9" a="1"/>
  <c r="V23" i="9" s="1"/>
  <c r="AG23" i="9" s="1" a="1"/>
  <c r="AG23" i="9" s="1"/>
  <c r="U23" i="9" a="1"/>
  <c r="U23" i="9" s="1"/>
  <c r="AF23" i="9" s="1" a="1"/>
  <c r="AF23" i="9" s="1"/>
  <c r="T23" i="9" a="1"/>
  <c r="T23" i="9" s="1"/>
  <c r="AE23" i="9" s="1" a="1"/>
  <c r="AE23" i="9" s="1"/>
  <c r="S23" i="9" a="1"/>
  <c r="S23" i="9" s="1"/>
  <c r="AD23" i="9" s="1" a="1"/>
  <c r="AD23" i="9" s="1"/>
  <c r="R23" i="9" a="1"/>
  <c r="R23" i="9" s="1"/>
  <c r="AC23" i="9" s="1" a="1"/>
  <c r="AC23" i="9" s="1"/>
  <c r="Q23" i="9" a="1"/>
  <c r="Q23" i="9" s="1"/>
  <c r="AB23" i="9" s="1" a="1"/>
  <c r="AB23" i="9" s="1"/>
  <c r="P23" i="9" a="1"/>
  <c r="P23" i="9" s="1"/>
  <c r="O23" i="9" a="1"/>
  <c r="O23" i="9" s="1"/>
  <c r="N23" i="9" a="1"/>
  <c r="N23" i="9" s="1"/>
  <c r="G23" i="9" a="1"/>
  <c r="G23" i="9" s="1"/>
  <c r="X22" i="9" a="1"/>
  <c r="X22" i="9" s="1"/>
  <c r="AI22" i="9" s="1" a="1"/>
  <c r="AI22" i="9" s="1"/>
  <c r="W22" i="9" a="1"/>
  <c r="W22" i="9" s="1"/>
  <c r="AH22" i="9" s="1" a="1"/>
  <c r="AH22" i="9" s="1"/>
  <c r="V22" i="9" a="1"/>
  <c r="V22" i="9" s="1"/>
  <c r="AG22" i="9" s="1" a="1"/>
  <c r="AG22" i="9" s="1"/>
  <c r="U22" i="9" a="1"/>
  <c r="U22" i="9" s="1"/>
  <c r="AF22" i="9" s="1" a="1"/>
  <c r="AF22" i="9" s="1"/>
  <c r="T22" i="9" a="1"/>
  <c r="T22" i="9" s="1"/>
  <c r="AE22" i="9" s="1" a="1"/>
  <c r="AE22" i="9" s="1"/>
  <c r="S22" i="9" a="1"/>
  <c r="S22" i="9" s="1"/>
  <c r="AD22" i="9" s="1" a="1"/>
  <c r="AD22" i="9" s="1"/>
  <c r="R22" i="9" a="1"/>
  <c r="R22" i="9" s="1"/>
  <c r="AC22" i="9" s="1" a="1"/>
  <c r="AC22" i="9" s="1"/>
  <c r="Q22" i="9" a="1"/>
  <c r="Q22" i="9" s="1"/>
  <c r="AB22" i="9" s="1" a="1"/>
  <c r="AB22" i="9" s="1"/>
  <c r="P22" i="9" a="1"/>
  <c r="P22" i="9" s="1"/>
  <c r="O22" i="9" a="1"/>
  <c r="O22" i="9" s="1"/>
  <c r="N22" i="9" a="1"/>
  <c r="N22" i="9" s="1"/>
  <c r="G22" i="9" a="1"/>
  <c r="G22" i="9" s="1"/>
  <c r="X21" i="9" a="1"/>
  <c r="X21" i="9" s="1"/>
  <c r="AI21" i="9" s="1" a="1"/>
  <c r="AI21" i="9" s="1"/>
  <c r="W21" i="9" a="1"/>
  <c r="W21" i="9" s="1"/>
  <c r="AH21" i="9" s="1" a="1"/>
  <c r="AH21" i="9" s="1"/>
  <c r="V21" i="9" a="1"/>
  <c r="V21" i="9" s="1"/>
  <c r="AG21" i="9" s="1" a="1"/>
  <c r="AG21" i="9" s="1"/>
  <c r="U21" i="9" a="1"/>
  <c r="U21" i="9" s="1"/>
  <c r="AF21" i="9" s="1" a="1"/>
  <c r="AF21" i="9" s="1"/>
  <c r="T21" i="9" a="1"/>
  <c r="T21" i="9" s="1"/>
  <c r="AE21" i="9" s="1" a="1"/>
  <c r="AE21" i="9" s="1"/>
  <c r="S21" i="9" a="1"/>
  <c r="S21" i="9" s="1"/>
  <c r="AD21" i="9" s="1" a="1"/>
  <c r="AD21" i="9" s="1"/>
  <c r="R21" i="9" a="1"/>
  <c r="R21" i="9" s="1"/>
  <c r="AC21" i="9" s="1" a="1"/>
  <c r="AC21" i="9" s="1"/>
  <c r="Q21" i="9" a="1"/>
  <c r="Q21" i="9" s="1"/>
  <c r="AB21" i="9" s="1" a="1"/>
  <c r="AB21" i="9" s="1"/>
  <c r="P21" i="9" a="1"/>
  <c r="P21" i="9" s="1"/>
  <c r="AA21" i="9" s="1" a="1"/>
  <c r="AA21" i="9" s="1"/>
  <c r="O21" i="9" a="1"/>
  <c r="O21" i="9" s="1"/>
  <c r="N21" i="9" a="1"/>
  <c r="N21" i="9" s="1"/>
  <c r="G21" i="9" a="1"/>
  <c r="G21" i="9" s="1"/>
  <c r="X20" i="9" a="1"/>
  <c r="X20" i="9" s="1"/>
  <c r="AI20" i="9" s="1" a="1"/>
  <c r="AI20" i="9" s="1"/>
  <c r="W20" i="9" a="1"/>
  <c r="W20" i="9" s="1"/>
  <c r="AH20" i="9" s="1" a="1"/>
  <c r="AH20" i="9" s="1"/>
  <c r="V20" i="9" a="1"/>
  <c r="V20" i="9" s="1"/>
  <c r="AG20" i="9" s="1" a="1"/>
  <c r="AG20" i="9" s="1"/>
  <c r="U20" i="9" a="1"/>
  <c r="U20" i="9" s="1"/>
  <c r="AF20" i="9" s="1" a="1"/>
  <c r="AF20" i="9" s="1"/>
  <c r="T20" i="9" a="1"/>
  <c r="T20" i="9" s="1"/>
  <c r="AE20" i="9" s="1" a="1"/>
  <c r="AE20" i="9" s="1"/>
  <c r="S20" i="9" a="1"/>
  <c r="S20" i="9" s="1"/>
  <c r="AD20" i="9" s="1" a="1"/>
  <c r="AD20" i="9" s="1"/>
  <c r="R20" i="9" a="1"/>
  <c r="R20" i="9" s="1"/>
  <c r="AC20" i="9" s="1" a="1"/>
  <c r="AC20" i="9" s="1"/>
  <c r="Q20" i="9" a="1"/>
  <c r="Q20" i="9" s="1"/>
  <c r="AB20" i="9" s="1" a="1"/>
  <c r="AB20" i="9" s="1"/>
  <c r="P20" i="9" a="1"/>
  <c r="P20" i="9" s="1"/>
  <c r="AA20" i="9" s="1" a="1"/>
  <c r="AA20" i="9" s="1"/>
  <c r="O20" i="9" a="1"/>
  <c r="O20" i="9" s="1"/>
  <c r="N20" i="9" a="1"/>
  <c r="N20" i="9" s="1"/>
  <c r="G20" i="9"/>
  <c r="G20" i="9" a="1"/>
  <c r="X19" i="9" a="1"/>
  <c r="X19" i="9" s="1"/>
  <c r="AI19" i="9" s="1" a="1"/>
  <c r="AI19" i="9" s="1"/>
  <c r="W19" i="9" a="1"/>
  <c r="W19" i="9" s="1"/>
  <c r="AH19" i="9" s="1" a="1"/>
  <c r="AH19" i="9" s="1"/>
  <c r="V19" i="9" a="1"/>
  <c r="V19" i="9" s="1"/>
  <c r="AG19" i="9" s="1" a="1"/>
  <c r="AG19" i="9" s="1"/>
  <c r="U19" i="9" a="1"/>
  <c r="U19" i="9" s="1"/>
  <c r="AF19" i="9" s="1" a="1"/>
  <c r="AF19" i="9" s="1"/>
  <c r="T19" i="9" a="1"/>
  <c r="T19" i="9" s="1"/>
  <c r="AE19" i="9" s="1" a="1"/>
  <c r="AE19" i="9" s="1"/>
  <c r="S19" i="9" a="1"/>
  <c r="S19" i="9" s="1"/>
  <c r="AD19" i="9" s="1" a="1"/>
  <c r="AD19" i="9" s="1"/>
  <c r="R19" i="9" a="1"/>
  <c r="R19" i="9" s="1"/>
  <c r="AC19" i="9" s="1" a="1"/>
  <c r="AC19" i="9" s="1"/>
  <c r="Q19" i="9" a="1"/>
  <c r="Q19" i="9" s="1"/>
  <c r="P19" i="9" a="1"/>
  <c r="P19" i="9" s="1"/>
  <c r="O19" i="9" a="1"/>
  <c r="O19" i="9" s="1"/>
  <c r="N19" i="9" a="1"/>
  <c r="N19" i="9" s="1"/>
  <c r="G19" i="9" a="1"/>
  <c r="G19" i="9" s="1"/>
  <c r="X18" i="9" a="1"/>
  <c r="X18" i="9" s="1"/>
  <c r="AI18" i="9" s="1" a="1"/>
  <c r="AI18" i="9" s="1"/>
  <c r="W18" i="9" a="1"/>
  <c r="W18" i="9" s="1"/>
  <c r="AH18" i="9" s="1" a="1"/>
  <c r="AH18" i="9" s="1"/>
  <c r="V18" i="9" a="1"/>
  <c r="V18" i="9" s="1"/>
  <c r="AG18" i="9" s="1" a="1"/>
  <c r="AG18" i="9" s="1"/>
  <c r="U18" i="9" a="1"/>
  <c r="U18" i="9" s="1"/>
  <c r="AF18" i="9" s="1" a="1"/>
  <c r="AF18" i="9" s="1"/>
  <c r="T18" i="9" a="1"/>
  <c r="T18" i="9" s="1"/>
  <c r="AE18" i="9" s="1" a="1"/>
  <c r="AE18" i="9" s="1"/>
  <c r="S18" i="9" a="1"/>
  <c r="S18" i="9" s="1"/>
  <c r="AD18" i="9" s="1" a="1"/>
  <c r="AD18" i="9" s="1"/>
  <c r="R18" i="9" a="1"/>
  <c r="R18" i="9" s="1"/>
  <c r="Q18" i="9" a="1"/>
  <c r="Q18" i="9" s="1"/>
  <c r="P18" i="9" a="1"/>
  <c r="P18" i="9" s="1"/>
  <c r="O18" i="9" a="1"/>
  <c r="O18" i="9" s="1"/>
  <c r="N18" i="9" a="1"/>
  <c r="N18" i="9" s="1"/>
  <c r="G18" i="9"/>
  <c r="G18" i="9" a="1"/>
  <c r="X17" i="9" a="1"/>
  <c r="X17" i="9" s="1"/>
  <c r="AI17" i="9" s="1" a="1"/>
  <c r="AI17" i="9" s="1"/>
  <c r="W17" i="9" a="1"/>
  <c r="W17" i="9" s="1"/>
  <c r="AH17" i="9" s="1" a="1"/>
  <c r="AH17" i="9" s="1"/>
  <c r="V17" i="9" a="1"/>
  <c r="V17" i="9" s="1"/>
  <c r="AG17" i="9" s="1" a="1"/>
  <c r="AG17" i="9" s="1"/>
  <c r="U17" i="9" a="1"/>
  <c r="U17" i="9" s="1"/>
  <c r="AF17" i="9" s="1" a="1"/>
  <c r="AF17" i="9" s="1"/>
  <c r="T17" i="9" a="1"/>
  <c r="T17" i="9" s="1"/>
  <c r="AE17" i="9" s="1" a="1"/>
  <c r="AE17" i="9" s="1"/>
  <c r="S17" i="9" a="1"/>
  <c r="S17" i="9" s="1"/>
  <c r="AD17" i="9" s="1" a="1"/>
  <c r="AD17" i="9" s="1"/>
  <c r="R17" i="9" a="1"/>
  <c r="R17" i="9" s="1"/>
  <c r="Q17" i="9" a="1"/>
  <c r="Q17" i="9" s="1"/>
  <c r="P17" i="9" a="1"/>
  <c r="P17" i="9" s="1"/>
  <c r="O17" i="9" a="1"/>
  <c r="O17" i="9" s="1"/>
  <c r="N17" i="9" a="1"/>
  <c r="N17" i="9" s="1"/>
  <c r="G17" i="9" a="1"/>
  <c r="G17" i="9" s="1"/>
  <c r="X16" i="9" a="1"/>
  <c r="X16" i="9" s="1"/>
  <c r="AI16" i="9" s="1" a="1"/>
  <c r="AI16" i="9" s="1"/>
  <c r="W16" i="9" a="1"/>
  <c r="W16" i="9" s="1"/>
  <c r="AH16" i="9" s="1" a="1"/>
  <c r="AH16" i="9" s="1"/>
  <c r="V16" i="9" a="1"/>
  <c r="V16" i="9" s="1"/>
  <c r="AG16" i="9" s="1" a="1"/>
  <c r="AG16" i="9" s="1"/>
  <c r="U16" i="9" a="1"/>
  <c r="U16" i="9" s="1"/>
  <c r="AF16" i="9" s="1" a="1"/>
  <c r="AF16" i="9" s="1"/>
  <c r="T16" i="9" a="1"/>
  <c r="T16" i="9" s="1"/>
  <c r="AE16" i="9" s="1" a="1"/>
  <c r="AE16" i="9" s="1"/>
  <c r="S16" i="9" a="1"/>
  <c r="S16" i="9" s="1"/>
  <c r="AD16" i="9" s="1" a="1"/>
  <c r="AD16" i="9" s="1"/>
  <c r="R16" i="9" a="1"/>
  <c r="R16" i="9" s="1"/>
  <c r="AC16" i="9" s="1" a="1"/>
  <c r="AC16" i="9" s="1"/>
  <c r="Q16" i="9" a="1"/>
  <c r="Q16" i="9" s="1"/>
  <c r="AB16" i="9" s="1" a="1"/>
  <c r="AB16" i="9" s="1"/>
  <c r="P16" i="9" a="1"/>
  <c r="P16" i="9" s="1"/>
  <c r="AA16" i="9" s="1" a="1"/>
  <c r="AA16" i="9" s="1"/>
  <c r="O16" i="9" a="1"/>
  <c r="O16" i="9" s="1"/>
  <c r="N16" i="9" a="1"/>
  <c r="N16" i="9" s="1"/>
  <c r="G16" i="9" a="1"/>
  <c r="G16" i="9" s="1"/>
  <c r="X15" i="9" a="1"/>
  <c r="X15" i="9" s="1"/>
  <c r="AI15" i="9" s="1" a="1"/>
  <c r="AI15" i="9" s="1"/>
  <c r="W15" i="9" a="1"/>
  <c r="W15" i="9" s="1"/>
  <c r="AH15" i="9" s="1" a="1"/>
  <c r="AH15" i="9" s="1"/>
  <c r="V15" i="9" a="1"/>
  <c r="V15" i="9" s="1"/>
  <c r="AG15" i="9" s="1" a="1"/>
  <c r="AG15" i="9" s="1"/>
  <c r="U15" i="9" a="1"/>
  <c r="U15" i="9" s="1"/>
  <c r="AF15" i="9" s="1" a="1"/>
  <c r="AF15" i="9" s="1"/>
  <c r="T15" i="9" a="1"/>
  <c r="T15" i="9" s="1"/>
  <c r="AE15" i="9" s="1" a="1"/>
  <c r="AE15" i="9" s="1"/>
  <c r="S15" i="9" a="1"/>
  <c r="S15" i="9" s="1"/>
  <c r="AD15" i="9" s="1" a="1"/>
  <c r="AD15" i="9" s="1"/>
  <c r="R15" i="9" a="1"/>
  <c r="R15" i="9" s="1"/>
  <c r="AC15" i="9" s="1" a="1"/>
  <c r="AC15" i="9" s="1"/>
  <c r="Q15" i="9" a="1"/>
  <c r="Q15" i="9" s="1"/>
  <c r="AB15" i="9" s="1" a="1"/>
  <c r="AB15" i="9" s="1"/>
  <c r="P15" i="9" a="1"/>
  <c r="P15" i="9" s="1"/>
  <c r="O15" i="9" a="1"/>
  <c r="O15" i="9" s="1"/>
  <c r="N15" i="9" a="1"/>
  <c r="N15" i="9" s="1"/>
  <c r="G15" i="9" a="1"/>
  <c r="G15" i="9" s="1"/>
  <c r="X14" i="9" a="1"/>
  <c r="X14" i="9" s="1"/>
  <c r="AI14" i="9" s="1" a="1"/>
  <c r="AI14" i="9" s="1"/>
  <c r="W14" i="9" a="1"/>
  <c r="W14" i="9" s="1"/>
  <c r="AH14" i="9" s="1" a="1"/>
  <c r="AH14" i="9" s="1"/>
  <c r="V14" i="9" a="1"/>
  <c r="V14" i="9" s="1"/>
  <c r="AG14" i="9" s="1" a="1"/>
  <c r="AG14" i="9" s="1"/>
  <c r="U14" i="9" a="1"/>
  <c r="U14" i="9" s="1"/>
  <c r="AF14" i="9" s="1" a="1"/>
  <c r="AF14" i="9" s="1"/>
  <c r="T14" i="9" a="1"/>
  <c r="T14" i="9" s="1"/>
  <c r="AE14" i="9" s="1" a="1"/>
  <c r="AE14" i="9" s="1"/>
  <c r="S14" i="9" a="1"/>
  <c r="S14" i="9" s="1"/>
  <c r="AD14" i="9" s="1" a="1"/>
  <c r="AD14" i="9" s="1"/>
  <c r="R14" i="9" a="1"/>
  <c r="R14" i="9" s="1"/>
  <c r="AC14" i="9" s="1" a="1"/>
  <c r="AC14" i="9" s="1"/>
  <c r="Q14" i="9" a="1"/>
  <c r="Q14" i="9" s="1"/>
  <c r="P14" i="9" a="1"/>
  <c r="P14" i="9" s="1"/>
  <c r="O14" i="9" a="1"/>
  <c r="O14" i="9" s="1"/>
  <c r="N14" i="9" a="1"/>
  <c r="N14" i="9" s="1"/>
  <c r="G14" i="9" a="1"/>
  <c r="G14" i="9" s="1"/>
  <c r="X13" i="9" a="1"/>
  <c r="X13" i="9" s="1"/>
  <c r="AI13" i="9" s="1" a="1"/>
  <c r="AI13" i="9" s="1"/>
  <c r="W13" i="9" a="1"/>
  <c r="W13" i="9" s="1"/>
  <c r="AH13" i="9" s="1" a="1"/>
  <c r="AH13" i="9" s="1"/>
  <c r="V13" i="9" a="1"/>
  <c r="V13" i="9" s="1"/>
  <c r="AG13" i="9" s="1" a="1"/>
  <c r="AG13" i="9" s="1"/>
  <c r="U13" i="9" a="1"/>
  <c r="U13" i="9" s="1"/>
  <c r="AF13" i="9" s="1" a="1"/>
  <c r="AF13" i="9" s="1"/>
  <c r="T13" i="9" a="1"/>
  <c r="T13" i="9" s="1"/>
  <c r="AE13" i="9" s="1" a="1"/>
  <c r="AE13" i="9" s="1"/>
  <c r="S13" i="9" a="1"/>
  <c r="S13" i="9" s="1"/>
  <c r="AD13" i="9" s="1" a="1"/>
  <c r="AD13" i="9" s="1"/>
  <c r="R13" i="9" a="1"/>
  <c r="R13" i="9" s="1"/>
  <c r="AC13" i="9" s="1" a="1"/>
  <c r="AC13" i="9" s="1"/>
  <c r="Q13" i="9" a="1"/>
  <c r="Q13" i="9" s="1"/>
  <c r="AB13" i="9" s="1" a="1"/>
  <c r="AB13" i="9" s="1"/>
  <c r="P13" i="9" a="1"/>
  <c r="P13" i="9" s="1"/>
  <c r="AA13" i="9" s="1" a="1"/>
  <c r="AA13" i="9" s="1"/>
  <c r="O13" i="9" a="1"/>
  <c r="O13" i="9" s="1"/>
  <c r="N13" i="9" a="1"/>
  <c r="N13" i="9" s="1"/>
  <c r="G13" i="9" a="1"/>
  <c r="G13" i="9" s="1"/>
  <c r="X14" i="8" a="1"/>
  <c r="X14" i="8" s="1"/>
  <c r="AI14" i="8" s="1" a="1"/>
  <c r="AI14" i="8" s="1"/>
  <c r="W14" i="8" a="1"/>
  <c r="W14" i="8" s="1"/>
  <c r="AH14" i="8" s="1" a="1"/>
  <c r="AH14" i="8" s="1"/>
  <c r="V14" i="8" a="1"/>
  <c r="V14" i="8" s="1"/>
  <c r="AG14" i="8" s="1" a="1"/>
  <c r="AG14" i="8" s="1"/>
  <c r="U14" i="8" a="1"/>
  <c r="U14" i="8" s="1"/>
  <c r="AF14" i="8" s="1" a="1"/>
  <c r="AF14" i="8" s="1"/>
  <c r="T14" i="8" a="1"/>
  <c r="T14" i="8" s="1"/>
  <c r="AE14" i="8" s="1" a="1"/>
  <c r="AE14" i="8" s="1"/>
  <c r="S14" i="8" a="1"/>
  <c r="S14" i="8" s="1"/>
  <c r="AD14" i="8" s="1" a="1"/>
  <c r="AD14" i="8" s="1"/>
  <c r="R14" i="8" a="1"/>
  <c r="R14" i="8" s="1"/>
  <c r="AC14" i="8" s="1" a="1"/>
  <c r="AC14" i="8" s="1"/>
  <c r="Q14" i="8" a="1"/>
  <c r="Q14" i="8" s="1"/>
  <c r="P14" i="8" a="1"/>
  <c r="P14" i="8" s="1"/>
  <c r="O14" i="8" a="1"/>
  <c r="O14" i="8" s="1"/>
  <c r="N14" i="8" a="1"/>
  <c r="N14" i="8" s="1"/>
  <c r="G14" i="8" a="1"/>
  <c r="G14" i="8" s="1"/>
  <c r="X13" i="8" a="1"/>
  <c r="X13" i="8" s="1"/>
  <c r="AI13" i="8" s="1" a="1"/>
  <c r="AI13" i="8" s="1"/>
  <c r="W13" i="8" a="1"/>
  <c r="W13" i="8" s="1"/>
  <c r="AH13" i="8" s="1" a="1"/>
  <c r="AH13" i="8" s="1"/>
  <c r="V13" i="8" a="1"/>
  <c r="V13" i="8" s="1"/>
  <c r="AG13" i="8" s="1" a="1"/>
  <c r="AG13" i="8" s="1"/>
  <c r="U13" i="8" a="1"/>
  <c r="U13" i="8" s="1"/>
  <c r="AF13" i="8" s="1" a="1"/>
  <c r="AF13" i="8" s="1"/>
  <c r="T13" i="8" a="1"/>
  <c r="T13" i="8" s="1"/>
  <c r="AE13" i="8" s="1" a="1"/>
  <c r="AE13" i="8" s="1"/>
  <c r="S13" i="8" a="1"/>
  <c r="S13" i="8" s="1"/>
  <c r="AD13" i="8" s="1" a="1"/>
  <c r="AD13" i="8" s="1"/>
  <c r="R13" i="8" a="1"/>
  <c r="R13" i="8" s="1"/>
  <c r="Q13" i="8" a="1"/>
  <c r="Q13" i="8" s="1"/>
  <c r="P13" i="8" a="1"/>
  <c r="P13" i="8" s="1"/>
  <c r="O13" i="8" a="1"/>
  <c r="O13" i="8" s="1"/>
  <c r="N13" i="8" a="1"/>
  <c r="N13" i="8" s="1"/>
  <c r="G13" i="8" a="1"/>
  <c r="G13" i="8" s="1"/>
  <c r="C6" i="5"/>
  <c r="C5" i="5"/>
  <c r="C4" i="5"/>
  <c r="C3" i="5"/>
  <c r="C2" i="5"/>
  <c r="C21" i="4"/>
  <c r="Y64" i="14" l="1" a="1"/>
  <c r="Y64" i="14" s="1"/>
  <c r="AC64" i="14" a="1"/>
  <c r="AC64" i="14" s="1"/>
  <c r="AB64" i="14" a="1"/>
  <c r="AB64" i="14" s="1"/>
  <c r="AA64" i="14" a="1"/>
  <c r="AA64" i="14" s="1"/>
  <c r="Z64" i="14" a="1"/>
  <c r="Z64" i="14" s="1"/>
  <c r="C10" i="4"/>
  <c r="E12" i="14"/>
  <c r="G18" i="2"/>
  <c r="H20" i="2" s="1"/>
  <c r="G11" i="13"/>
  <c r="H23" i="12"/>
  <c r="AA23" i="12" s="1" a="1"/>
  <c r="AA23" i="12" s="1"/>
  <c r="H24" i="12"/>
  <c r="Z24" i="12" s="1" a="1"/>
  <c r="Z24" i="12" s="1"/>
  <c r="G11" i="12"/>
  <c r="H13" i="12"/>
  <c r="Z13" i="12" s="1" a="1"/>
  <c r="Z13" i="12" s="1"/>
  <c r="H17" i="12"/>
  <c r="H28" i="12"/>
  <c r="G11" i="11"/>
  <c r="G11" i="10"/>
  <c r="H20" i="9"/>
  <c r="L20" i="9" s="1"/>
  <c r="G11" i="9"/>
  <c r="H29" i="9" s="1"/>
  <c r="G11" i="8"/>
  <c r="H29" i="10" l="1"/>
  <c r="L29" i="10"/>
  <c r="Y29" i="10" a="1"/>
  <c r="Y29" i="10" s="1"/>
  <c r="Z29" i="10" a="1"/>
  <c r="Z29" i="10" s="1"/>
  <c r="H28" i="10"/>
  <c r="L28" i="10" s="1"/>
  <c r="H23" i="10"/>
  <c r="L23" i="10" s="1"/>
  <c r="H27" i="10"/>
  <c r="H21" i="10"/>
  <c r="Z21" i="10" s="1"/>
  <c r="H17" i="10"/>
  <c r="H15" i="8"/>
  <c r="L15" i="8" s="1"/>
  <c r="H13" i="8"/>
  <c r="Y13" i="8" s="1" a="1"/>
  <c r="Y13" i="8" s="1"/>
  <c r="H26" i="10"/>
  <c r="L26" i="10" s="1"/>
  <c r="F42" i="14"/>
  <c r="Y42" i="14" s="1" a="1"/>
  <c r="Y42" i="14" s="1"/>
  <c r="F44" i="14"/>
  <c r="Y44" i="14" s="1" a="1"/>
  <c r="Y44" i="14" s="1"/>
  <c r="F46" i="14"/>
  <c r="Y46" i="14" s="1" a="1"/>
  <c r="Y46" i="14" s="1"/>
  <c r="F43" i="14"/>
  <c r="Y43" i="14" s="1" a="1"/>
  <c r="Y43" i="14" s="1"/>
  <c r="F45" i="14"/>
  <c r="Y45" i="14" s="1" a="1"/>
  <c r="Y45" i="14" s="1"/>
  <c r="F41" i="14"/>
  <c r="Y41" i="14" s="1" a="1"/>
  <c r="Y41" i="14" s="1"/>
  <c r="F23" i="14"/>
  <c r="Y23" i="14" s="1" a="1"/>
  <c r="Y23" i="14" s="1"/>
  <c r="F20" i="14"/>
  <c r="Y20" i="14" s="1" a="1"/>
  <c r="Y20" i="14" s="1"/>
  <c r="F22" i="14"/>
  <c r="Y22" i="14" s="1" a="1"/>
  <c r="Y22" i="14" s="1"/>
  <c r="F21" i="14"/>
  <c r="Y21" i="14" s="1" a="1"/>
  <c r="Y21" i="14" s="1"/>
  <c r="F24" i="14"/>
  <c r="Y24" i="14" s="1" a="1"/>
  <c r="Y24" i="14" s="1"/>
  <c r="F63" i="14"/>
  <c r="F62" i="14"/>
  <c r="F61" i="14"/>
  <c r="F58" i="14"/>
  <c r="F60" i="14"/>
  <c r="F59" i="14"/>
  <c r="F57" i="14"/>
  <c r="H32" i="13"/>
  <c r="Z32" i="13" s="1" a="1"/>
  <c r="Z32" i="13" s="1"/>
  <c r="H36" i="13"/>
  <c r="Z36" i="13" s="1" a="1"/>
  <c r="Z36" i="13" s="1"/>
  <c r="H35" i="13"/>
  <c r="Z35" i="13" s="1" a="1"/>
  <c r="Z35" i="13" s="1"/>
  <c r="H31" i="13"/>
  <c r="Z31" i="13" s="1" a="1"/>
  <c r="Z31" i="13" s="1"/>
  <c r="H34" i="13"/>
  <c r="Z34" i="13" s="1" a="1"/>
  <c r="Z34" i="13" s="1"/>
  <c r="H33" i="13"/>
  <c r="Z33" i="13" s="1" a="1"/>
  <c r="Z33" i="13" s="1"/>
  <c r="H29" i="13"/>
  <c r="Y29" i="13" s="1" a="1"/>
  <c r="Y29" i="13" s="1"/>
  <c r="F29" i="14"/>
  <c r="Y29" i="14" s="1" a="1"/>
  <c r="Y29" i="14" s="1"/>
  <c r="F51" i="14"/>
  <c r="Y51" i="14" s="1" a="1"/>
  <c r="Y51" i="14" s="1"/>
  <c r="F18" i="14"/>
  <c r="Y18" i="14" s="1" a="1"/>
  <c r="Y18" i="14" s="1"/>
  <c r="F16" i="14"/>
  <c r="Y16" i="14" s="1" a="1"/>
  <c r="Y16" i="14" s="1"/>
  <c r="F17" i="14"/>
  <c r="Y17" i="14" s="1" a="1"/>
  <c r="Y17" i="14" s="1"/>
  <c r="F15" i="14"/>
  <c r="Y15" i="14" s="1" a="1"/>
  <c r="Y15" i="14" s="1"/>
  <c r="F25" i="14"/>
  <c r="Y25" i="14" s="1" a="1"/>
  <c r="Y25" i="14" s="1"/>
  <c r="F54" i="14"/>
  <c r="Y54" i="14" s="1" a="1"/>
  <c r="Y54" i="14" s="1"/>
  <c r="F56" i="14"/>
  <c r="Y56" i="14" s="1" a="1"/>
  <c r="Y56" i="14" s="1"/>
  <c r="F48" i="14"/>
  <c r="Y48" i="14" s="1" a="1"/>
  <c r="Y48" i="14" s="1"/>
  <c r="F40" i="14"/>
  <c r="Y40" i="14" s="1" a="1"/>
  <c r="Y40" i="14" s="1"/>
  <c r="F32" i="14"/>
  <c r="Y32" i="14" s="1" a="1"/>
  <c r="Y32" i="14" s="1"/>
  <c r="F49" i="14"/>
  <c r="Y49" i="14" s="1" a="1"/>
  <c r="Y49" i="14" s="1"/>
  <c r="F35" i="14"/>
  <c r="Y35" i="14" s="1" a="1"/>
  <c r="Y35" i="14" s="1"/>
  <c r="F34" i="14"/>
  <c r="Y34" i="14" s="1" a="1"/>
  <c r="Y34" i="14" s="1"/>
  <c r="F26" i="14"/>
  <c r="Y26" i="14" s="1" a="1"/>
  <c r="Y26" i="14" s="1"/>
  <c r="F38" i="14"/>
  <c r="Y38" i="14" s="1" a="1"/>
  <c r="Y38" i="14" s="1"/>
  <c r="F37" i="14"/>
  <c r="Y37" i="14" s="1" a="1"/>
  <c r="Y37" i="14" s="1"/>
  <c r="F27" i="14"/>
  <c r="Y27" i="14" s="1" a="1"/>
  <c r="Y27" i="14" s="1"/>
  <c r="F14" i="14"/>
  <c r="Y14" i="14" s="1" a="1"/>
  <c r="Y14" i="14" s="1"/>
  <c r="F55" i="14"/>
  <c r="Y55" i="14" s="1" a="1"/>
  <c r="Y55" i="14" s="1"/>
  <c r="F19" i="14"/>
  <c r="Y19" i="14" s="1" a="1"/>
  <c r="Y19" i="14" s="1"/>
  <c r="F53" i="14"/>
  <c r="Y53" i="14" s="1" a="1"/>
  <c r="Y53" i="14" s="1"/>
  <c r="F52" i="14"/>
  <c r="Y52" i="14" s="1" a="1"/>
  <c r="Y52" i="14" s="1"/>
  <c r="F50" i="14"/>
  <c r="Y50" i="14" s="1" a="1"/>
  <c r="Y50" i="14" s="1"/>
  <c r="F36" i="14"/>
  <c r="Y36" i="14" s="1" a="1"/>
  <c r="Y36" i="14" s="1"/>
  <c r="F47" i="14"/>
  <c r="Y47" i="14" s="1" a="1"/>
  <c r="Y47" i="14" s="1"/>
  <c r="F39" i="14"/>
  <c r="Y39" i="14" s="1" a="1"/>
  <c r="Y39" i="14" s="1"/>
  <c r="F30" i="14"/>
  <c r="Y30" i="14" s="1" a="1"/>
  <c r="Y30" i="14" s="1"/>
  <c r="F28" i="14"/>
  <c r="Y28" i="14" s="1" a="1"/>
  <c r="Y28" i="14" s="1"/>
  <c r="F33" i="14"/>
  <c r="Y33" i="14" s="1" a="1"/>
  <c r="Y33" i="14" s="1"/>
  <c r="F31" i="14"/>
  <c r="Y31" i="14" s="1" a="1"/>
  <c r="Y31" i="14" s="1"/>
  <c r="H18" i="10"/>
  <c r="L18" i="10" s="1"/>
  <c r="H19" i="10"/>
  <c r="L19" i="10" s="1"/>
  <c r="H25" i="10"/>
  <c r="H24" i="10"/>
  <c r="L24" i="10" s="1"/>
  <c r="AB13" i="8" a="1"/>
  <c r="AB13" i="8" s="1"/>
  <c r="AC13" i="8" a="1"/>
  <c r="AC13" i="8" s="1"/>
  <c r="AA13" i="8" a="1"/>
  <c r="AA13" i="8" s="1"/>
  <c r="AA24" i="12" a="1"/>
  <c r="AA24" i="12" s="1"/>
  <c r="F64" i="14"/>
  <c r="L20" i="2"/>
  <c r="Z20" i="2" a="1"/>
  <c r="Z20" i="2" s="1"/>
  <c r="Y20" i="2" a="1"/>
  <c r="Y20" i="2" s="1"/>
  <c r="H21" i="2"/>
  <c r="Y13" i="12" a="1"/>
  <c r="Y13" i="12" s="1"/>
  <c r="J13" i="12" s="1" a="1"/>
  <c r="J13" i="12" s="1"/>
  <c r="H13" i="11"/>
  <c r="Y13" i="11" s="1" a="1"/>
  <c r="Y13" i="11" s="1"/>
  <c r="H26" i="13"/>
  <c r="AB26" i="13" s="1" a="1"/>
  <c r="AB26" i="13" s="1"/>
  <c r="H22" i="13"/>
  <c r="H19" i="13"/>
  <c r="H24" i="13"/>
  <c r="H28" i="13"/>
  <c r="H30" i="13"/>
  <c r="H27" i="13"/>
  <c r="AB27" i="13" s="1" a="1"/>
  <c r="AB27" i="13" s="1"/>
  <c r="H21" i="13"/>
  <c r="H20" i="13"/>
  <c r="H17" i="13"/>
  <c r="H13" i="13"/>
  <c r="AA13" i="13" s="1" a="1"/>
  <c r="AA13" i="13" s="1"/>
  <c r="H15" i="13"/>
  <c r="H25" i="13"/>
  <c r="AC25" i="13" s="1" a="1"/>
  <c r="AC25" i="13" s="1"/>
  <c r="H23" i="13"/>
  <c r="H16" i="13"/>
  <c r="H37" i="13"/>
  <c r="L37" i="13" s="1"/>
  <c r="H18" i="13"/>
  <c r="H14" i="13"/>
  <c r="L23" i="12"/>
  <c r="Z23" i="12" a="1"/>
  <c r="Z23" i="12" s="1"/>
  <c r="Y23" i="12" a="1"/>
  <c r="Y23" i="12" s="1"/>
  <c r="L17" i="12"/>
  <c r="AC17" i="12" a="1"/>
  <c r="AC17" i="12" s="1"/>
  <c r="L13" i="12"/>
  <c r="L28" i="12"/>
  <c r="Y28" i="12" a="1"/>
  <c r="Y28" i="12" s="1"/>
  <c r="H27" i="12"/>
  <c r="H31" i="12"/>
  <c r="H25" i="12"/>
  <c r="H15" i="12"/>
  <c r="H14" i="12"/>
  <c r="H30" i="12"/>
  <c r="H29" i="12"/>
  <c r="H21" i="12"/>
  <c r="H19" i="12"/>
  <c r="H18" i="12"/>
  <c r="H16" i="12"/>
  <c r="L24" i="12"/>
  <c r="Y24" i="12" a="1"/>
  <c r="Y24" i="12" s="1"/>
  <c r="J24" i="12" s="1" a="1"/>
  <c r="J24" i="12" s="1"/>
  <c r="H26" i="12"/>
  <c r="Z17" i="12" a="1"/>
  <c r="Z17" i="12" s="1"/>
  <c r="AA17" i="12" a="1"/>
  <c r="AA17" i="12" s="1"/>
  <c r="H22" i="12"/>
  <c r="Z28" i="12" a="1"/>
  <c r="Z28" i="12" s="1"/>
  <c r="H20" i="12"/>
  <c r="AB17" i="12" a="1"/>
  <c r="AB17" i="12" s="1"/>
  <c r="Y17" i="12" a="1"/>
  <c r="Y17" i="12" s="1"/>
  <c r="H14" i="11"/>
  <c r="H15" i="10"/>
  <c r="H20" i="10"/>
  <c r="AC19" i="10" a="1"/>
  <c r="AC19" i="10" s="1"/>
  <c r="AB18" i="10" a="1"/>
  <c r="AB18" i="10" s="1"/>
  <c r="H22" i="10"/>
  <c r="H16" i="10"/>
  <c r="AA16" i="10" s="1" a="1"/>
  <c r="AA16" i="10" s="1"/>
  <c r="H13" i="10"/>
  <c r="AA13" i="10" s="1" a="1"/>
  <c r="AA13" i="10" s="1"/>
  <c r="H14" i="10"/>
  <c r="AC18" i="10" a="1"/>
  <c r="AC18" i="10" s="1"/>
  <c r="L29" i="9"/>
  <c r="AB29" i="9" a="1"/>
  <c r="AB29" i="9" s="1"/>
  <c r="Z29" i="9" a="1"/>
  <c r="Z29" i="9" s="1"/>
  <c r="AA29" i="9" a="1"/>
  <c r="AA29" i="9" s="1"/>
  <c r="Y29" i="9" a="1"/>
  <c r="Y29" i="9" s="1"/>
  <c r="H31" i="9"/>
  <c r="Y20" i="9" a="1"/>
  <c r="Y20" i="9" s="1"/>
  <c r="H16" i="9"/>
  <c r="Z20" i="9" a="1"/>
  <c r="Z20" i="9" s="1"/>
  <c r="H14" i="9"/>
  <c r="H25" i="9"/>
  <c r="H17" i="9"/>
  <c r="H26" i="9"/>
  <c r="H30" i="9"/>
  <c r="H27" i="9"/>
  <c r="H13" i="9"/>
  <c r="H18" i="9"/>
  <c r="H19" i="9"/>
  <c r="H15" i="9"/>
  <c r="H23" i="9"/>
  <c r="H28" i="9"/>
  <c r="H24" i="9"/>
  <c r="H21" i="9"/>
  <c r="H22" i="9"/>
  <c r="H14" i="8"/>
  <c r="J29" i="10" l="1" a="1"/>
  <c r="J29" i="10" s="1"/>
  <c r="Y28" i="10" a="1"/>
  <c r="Y28" i="10" s="1"/>
  <c r="Z28" i="10" a="1"/>
  <c r="Z28" i="10" s="1"/>
  <c r="AA28" i="10" a="1"/>
  <c r="AA28" i="10" s="1"/>
  <c r="J28" i="10" s="1" a="1"/>
  <c r="J28" i="10" s="1"/>
  <c r="Z23" i="10" a="1"/>
  <c r="Z23" i="10" s="1"/>
  <c r="Y23" i="10" a="1"/>
  <c r="Y23" i="10" s="1"/>
  <c r="AA23" i="10" a="1"/>
  <c r="AA23" i="10" s="1"/>
  <c r="Y21" i="10"/>
  <c r="J21" i="10" s="1" a="1"/>
  <c r="J21" i="10" s="1"/>
  <c r="L21" i="10"/>
  <c r="L27" i="10"/>
  <c r="AA27" i="10" a="1"/>
  <c r="AA27" i="10" s="1"/>
  <c r="Z27" i="10" a="1"/>
  <c r="Z27" i="10" s="1"/>
  <c r="Y27" i="10" a="1"/>
  <c r="Y27" i="10" s="1"/>
  <c r="Z17" i="10"/>
  <c r="L17" i="10"/>
  <c r="Y17" i="10"/>
  <c r="Z20" i="10"/>
  <c r="Y20" i="10"/>
  <c r="Z22" i="10" a="1"/>
  <c r="Z22" i="10" s="1"/>
  <c r="AA22" i="10" a="1"/>
  <c r="AA22" i="10" s="1"/>
  <c r="L13" i="8"/>
  <c r="Y15" i="8" a="1"/>
  <c r="Y15" i="8" s="1"/>
  <c r="Z15" i="8" a="1"/>
  <c r="Z15" i="8" s="1"/>
  <c r="Z13" i="8" a="1"/>
  <c r="Z13" i="8" s="1"/>
  <c r="J13" i="8" s="1" a="1"/>
  <c r="J13" i="8" s="1"/>
  <c r="L25" i="10"/>
  <c r="Z25" i="10" a="1"/>
  <c r="Z25" i="10" s="1"/>
  <c r="Y25" i="10" a="1"/>
  <c r="Y25" i="10" s="1"/>
  <c r="AA25" i="10" a="1"/>
  <c r="AA25" i="10" s="1"/>
  <c r="AA26" i="10" a="1"/>
  <c r="AA26" i="10" s="1"/>
  <c r="Z26" i="10" a="1"/>
  <c r="Z26" i="10" s="1"/>
  <c r="Y26" i="10" a="1"/>
  <c r="Y26" i="10" s="1"/>
  <c r="Y18" i="10" a="1"/>
  <c r="Y18" i="10" s="1"/>
  <c r="AA18" i="10" a="1"/>
  <c r="AA18" i="10" s="1"/>
  <c r="AA24" i="10" a="1"/>
  <c r="AA24" i="10" s="1"/>
  <c r="AA19" i="10" a="1"/>
  <c r="AA19" i="10" s="1"/>
  <c r="J41" i="14"/>
  <c r="W41" i="14" a="1"/>
  <c r="W41" i="14" s="1"/>
  <c r="X41" i="14" a="1"/>
  <c r="X41" i="14" s="1"/>
  <c r="J45" i="14"/>
  <c r="W45" i="14" a="1"/>
  <c r="W45" i="14" s="1"/>
  <c r="X45" i="14" a="1"/>
  <c r="X45" i="14" s="1"/>
  <c r="J43" i="14"/>
  <c r="W43" i="14" a="1"/>
  <c r="W43" i="14" s="1"/>
  <c r="X43" i="14" a="1"/>
  <c r="X43" i="14" s="1"/>
  <c r="J46" i="14"/>
  <c r="X46" i="14" a="1"/>
  <c r="X46" i="14" s="1"/>
  <c r="W46" i="14" a="1"/>
  <c r="W46" i="14" s="1"/>
  <c r="J44" i="14"/>
  <c r="X44" i="14" a="1"/>
  <c r="X44" i="14" s="1"/>
  <c r="W44" i="14" a="1"/>
  <c r="W44" i="14" s="1"/>
  <c r="J42" i="14"/>
  <c r="W42" i="14" a="1"/>
  <c r="W42" i="14" s="1"/>
  <c r="X42" i="14" a="1"/>
  <c r="X42" i="14" s="1"/>
  <c r="J24" i="14"/>
  <c r="W24" i="14" a="1"/>
  <c r="W24" i="14" s="1"/>
  <c r="X24" i="14" a="1"/>
  <c r="X24" i="14" s="1"/>
  <c r="J21" i="14"/>
  <c r="W21" i="14" a="1"/>
  <c r="W21" i="14" s="1"/>
  <c r="X21" i="14" a="1"/>
  <c r="X21" i="14" s="1"/>
  <c r="J22" i="14"/>
  <c r="W22" i="14" a="1"/>
  <c r="W22" i="14" s="1"/>
  <c r="X22" i="14" a="1"/>
  <c r="X22" i="14" s="1"/>
  <c r="J20" i="14"/>
  <c r="X20" i="14" a="1"/>
  <c r="X20" i="14" s="1"/>
  <c r="W20" i="14" a="1"/>
  <c r="W20" i="14" s="1"/>
  <c r="J23" i="14"/>
  <c r="W23" i="14" a="1"/>
  <c r="W23" i="14" s="1"/>
  <c r="X23" i="14" a="1"/>
  <c r="X23" i="14" s="1"/>
  <c r="J61" i="14"/>
  <c r="W61" i="14" a="1"/>
  <c r="W61" i="14" s="1"/>
  <c r="X61" i="14" a="1"/>
  <c r="X61" i="14" s="1"/>
  <c r="J62" i="14"/>
  <c r="X62" i="14" a="1"/>
  <c r="X62" i="14" s="1"/>
  <c r="W62" i="14" a="1"/>
  <c r="W62" i="14" s="1"/>
  <c r="J59" i="14"/>
  <c r="W59" i="14" a="1"/>
  <c r="W59" i="14" s="1"/>
  <c r="X59" i="14" a="1"/>
  <c r="X59" i="14" s="1"/>
  <c r="J63" i="14"/>
  <c r="X63" i="14" a="1"/>
  <c r="X63" i="14" s="1"/>
  <c r="W63" i="14" a="1"/>
  <c r="W63" i="14" s="1"/>
  <c r="J57" i="14"/>
  <c r="X57" i="14" a="1"/>
  <c r="X57" i="14" s="1"/>
  <c r="W57" i="14" a="1"/>
  <c r="W57" i="14" s="1"/>
  <c r="J60" i="14"/>
  <c r="X60" i="14" a="1"/>
  <c r="X60" i="14" s="1"/>
  <c r="W60" i="14" a="1"/>
  <c r="W60" i="14" s="1"/>
  <c r="J58" i="14"/>
  <c r="W58" i="14" a="1"/>
  <c r="W58" i="14" s="1"/>
  <c r="X58" i="14" a="1"/>
  <c r="X58" i="14" s="1"/>
  <c r="J50" i="14"/>
  <c r="W50" i="14" a="1"/>
  <c r="W50" i="14" s="1"/>
  <c r="X50" i="14" a="1"/>
  <c r="X50" i="14" s="1"/>
  <c r="J37" i="14"/>
  <c r="W37" i="14" a="1"/>
  <c r="W37" i="14" s="1"/>
  <c r="X37" i="14" a="1"/>
  <c r="X37" i="14" s="1"/>
  <c r="J48" i="14"/>
  <c r="X48" i="14" a="1"/>
  <c r="X48" i="14" s="1"/>
  <c r="W48" i="14" a="1"/>
  <c r="W48" i="14" s="1"/>
  <c r="J25" i="14"/>
  <c r="W25" i="14" a="1"/>
  <c r="W25" i="14" s="1"/>
  <c r="X25" i="14" a="1"/>
  <c r="X25" i="14" s="1"/>
  <c r="J33" i="14"/>
  <c r="W33" i="14" a="1"/>
  <c r="W33" i="14" s="1"/>
  <c r="X33" i="14" a="1"/>
  <c r="X33" i="14" s="1"/>
  <c r="J53" i="14"/>
  <c r="X53" i="14" a="1"/>
  <c r="X53" i="14" s="1"/>
  <c r="W53" i="14" a="1"/>
  <c r="W53" i="14" s="1"/>
  <c r="J26" i="14"/>
  <c r="X26" i="14" a="1"/>
  <c r="X26" i="14" s="1"/>
  <c r="W26" i="14" a="1"/>
  <c r="W26" i="14" s="1"/>
  <c r="J17" i="14"/>
  <c r="X17" i="14" a="1"/>
  <c r="X17" i="14" s="1"/>
  <c r="W17" i="14" a="1"/>
  <c r="W17" i="14" s="1"/>
  <c r="J36" i="14"/>
  <c r="W36" i="14" a="1"/>
  <c r="W36" i="14" s="1"/>
  <c r="X36" i="14" a="1"/>
  <c r="X36" i="14" s="1"/>
  <c r="J40" i="14"/>
  <c r="X40" i="14" a="1"/>
  <c r="X40" i="14" s="1"/>
  <c r="W40" i="14" a="1"/>
  <c r="W40" i="14" s="1"/>
  <c r="J31" i="14"/>
  <c r="W31" i="14" a="1"/>
  <c r="W31" i="14" s="1"/>
  <c r="X31" i="14" a="1"/>
  <c r="X31" i="14" s="1"/>
  <c r="J38" i="14"/>
  <c r="W38" i="14" a="1"/>
  <c r="W38" i="14" s="1"/>
  <c r="X38" i="14" a="1"/>
  <c r="X38" i="14" s="1"/>
  <c r="J56" i="14"/>
  <c r="X56" i="14" a="1"/>
  <c r="X56" i="14" s="1"/>
  <c r="W56" i="14" a="1"/>
  <c r="W56" i="14" s="1"/>
  <c r="J28" i="14"/>
  <c r="W28" i="14" a="1"/>
  <c r="W28" i="14" s="1"/>
  <c r="X28" i="14" a="1"/>
  <c r="X28" i="14" s="1"/>
  <c r="J19" i="14"/>
  <c r="W19" i="14" a="1"/>
  <c r="W19" i="14" s="1"/>
  <c r="X19" i="14" a="1"/>
  <c r="X19" i="14" s="1"/>
  <c r="J34" i="14"/>
  <c r="X34" i="14" a="1"/>
  <c r="X34" i="14" s="1"/>
  <c r="W34" i="14" a="1"/>
  <c r="W34" i="14" s="1"/>
  <c r="J16" i="14"/>
  <c r="X16" i="14" a="1"/>
  <c r="X16" i="14" s="1"/>
  <c r="W16" i="14" a="1"/>
  <c r="W16" i="14" s="1"/>
  <c r="J30" i="14"/>
  <c r="X30" i="14" a="1"/>
  <c r="X30" i="14" s="1"/>
  <c r="W30" i="14" a="1"/>
  <c r="W30" i="14" s="1"/>
  <c r="J55" i="14"/>
  <c r="X55" i="14" a="1"/>
  <c r="X55" i="14" s="1"/>
  <c r="W55" i="14" a="1"/>
  <c r="W55" i="14" s="1"/>
  <c r="J35" i="14"/>
  <c r="X35" i="14" a="1"/>
  <c r="X35" i="14" s="1"/>
  <c r="W35" i="14" a="1"/>
  <c r="W35" i="14" s="1"/>
  <c r="J18" i="14"/>
  <c r="X18" i="14" a="1"/>
  <c r="X18" i="14" s="1"/>
  <c r="W18" i="14" a="1"/>
  <c r="W18" i="14" s="1"/>
  <c r="J52" i="14"/>
  <c r="W52" i="14" a="1"/>
  <c r="W52" i="14" s="1"/>
  <c r="X52" i="14" a="1"/>
  <c r="X52" i="14" s="1"/>
  <c r="J15" i="14"/>
  <c r="X15" i="14" a="1"/>
  <c r="X15" i="14" s="1"/>
  <c r="W15" i="14" a="1"/>
  <c r="W15" i="14" s="1"/>
  <c r="J39" i="14"/>
  <c r="W39" i="14" a="1"/>
  <c r="W39" i="14" s="1"/>
  <c r="X39" i="14" a="1"/>
  <c r="X39" i="14" s="1"/>
  <c r="J14" i="14"/>
  <c r="X14" i="14" a="1"/>
  <c r="X14" i="14" s="1"/>
  <c r="W14" i="14" a="1"/>
  <c r="W14" i="14" s="1"/>
  <c r="J49" i="14"/>
  <c r="W49" i="14" a="1"/>
  <c r="W49" i="14" s="1"/>
  <c r="X49" i="14" a="1"/>
  <c r="X49" i="14" s="1"/>
  <c r="J51" i="14"/>
  <c r="X51" i="14" a="1"/>
  <c r="X51" i="14" s="1"/>
  <c r="W51" i="14" a="1"/>
  <c r="W51" i="14" s="1"/>
  <c r="J47" i="14"/>
  <c r="W47" i="14" a="1"/>
  <c r="W47" i="14" s="1"/>
  <c r="X47" i="14" a="1"/>
  <c r="X47" i="14" s="1"/>
  <c r="J27" i="14"/>
  <c r="X27" i="14" a="1"/>
  <c r="X27" i="14" s="1"/>
  <c r="W27" i="14" a="1"/>
  <c r="W27" i="14" s="1"/>
  <c r="J32" i="14"/>
  <c r="X32" i="14" a="1"/>
  <c r="X32" i="14" s="1"/>
  <c r="W32" i="14" a="1"/>
  <c r="W32" i="14" s="1"/>
  <c r="J54" i="14"/>
  <c r="W54" i="14" a="1"/>
  <c r="W54" i="14" s="1"/>
  <c r="X54" i="14" a="1"/>
  <c r="X54" i="14" s="1"/>
  <c r="J29" i="14"/>
  <c r="W29" i="14" a="1"/>
  <c r="W29" i="14" s="1"/>
  <c r="X29" i="14" a="1"/>
  <c r="X29" i="14" s="1"/>
  <c r="L34" i="13"/>
  <c r="Y34" i="13" a="1"/>
  <c r="Y34" i="13" s="1"/>
  <c r="J34" i="13" s="1" a="1"/>
  <c r="J34" i="13" s="1"/>
  <c r="AB28" i="13" a="1"/>
  <c r="AB28" i="13" s="1"/>
  <c r="AA28" i="13" a="1"/>
  <c r="AA28" i="13" s="1"/>
  <c r="L31" i="13"/>
  <c r="Y31" i="13" a="1"/>
  <c r="Y31" i="13" s="1"/>
  <c r="J31" i="13" s="1" a="1"/>
  <c r="J31" i="13" s="1"/>
  <c r="AC16" i="13" a="1"/>
  <c r="AC16" i="13" s="1"/>
  <c r="AB16" i="13" a="1"/>
  <c r="AB16" i="13" s="1"/>
  <c r="AA16" i="13" a="1"/>
  <c r="AA16" i="13" s="1"/>
  <c r="L33" i="13"/>
  <c r="Y33" i="13" a="1"/>
  <c r="Y33" i="13" s="1"/>
  <c r="J33" i="13" s="1" a="1"/>
  <c r="J33" i="13" s="1"/>
  <c r="L35" i="13"/>
  <c r="Y35" i="13" a="1"/>
  <c r="Y35" i="13" s="1"/>
  <c r="J35" i="13" s="1" a="1"/>
  <c r="J35" i="13" s="1"/>
  <c r="L36" i="13"/>
  <c r="Y36" i="13" a="1"/>
  <c r="Y36" i="13" s="1"/>
  <c r="J36" i="13" s="1" a="1"/>
  <c r="J36" i="13" s="1"/>
  <c r="AD21" i="13" a="1"/>
  <c r="AD21" i="13" s="1"/>
  <c r="AA21" i="13" a="1"/>
  <c r="AA21" i="13" s="1"/>
  <c r="AH21" i="13" a="1"/>
  <c r="AH21" i="13" s="1"/>
  <c r="AF21" i="13" a="1"/>
  <c r="AF21" i="13" s="1"/>
  <c r="AG21" i="13" a="1"/>
  <c r="AG21" i="13" s="1"/>
  <c r="AE21" i="13" a="1"/>
  <c r="AE21" i="13" s="1"/>
  <c r="AC21" i="13" a="1"/>
  <c r="AC21" i="13" s="1"/>
  <c r="AB21" i="13" a="1"/>
  <c r="AB21" i="13" s="1"/>
  <c r="L32" i="13"/>
  <c r="Y32" i="13" a="1"/>
  <c r="Y32" i="13" s="1"/>
  <c r="J32" i="13" s="1" a="1"/>
  <c r="J32" i="13" s="1"/>
  <c r="L29" i="13"/>
  <c r="AA29" i="13" a="1"/>
  <c r="AA29" i="13" s="1"/>
  <c r="Z29" i="13" a="1"/>
  <c r="Z29" i="13" s="1"/>
  <c r="AB29" i="13" a="1"/>
  <c r="AB29" i="13" s="1"/>
  <c r="J17" i="12" a="1"/>
  <c r="J17" i="12" s="1"/>
  <c r="J28" i="12" a="1"/>
  <c r="J28" i="12" s="1"/>
  <c r="Z18" i="10" a="1"/>
  <c r="Z18" i="10" s="1"/>
  <c r="Z19" i="10" a="1"/>
  <c r="Z19" i="10" s="1"/>
  <c r="AB19" i="10" a="1"/>
  <c r="AB19" i="10" s="1"/>
  <c r="Y24" i="10" a="1"/>
  <c r="Y24" i="10" s="1"/>
  <c r="Y19" i="10" a="1"/>
  <c r="Y19" i="10" s="1"/>
  <c r="Z24" i="10" a="1"/>
  <c r="Z24" i="10" s="1"/>
  <c r="J20" i="9" a="1"/>
  <c r="J20" i="9" s="1"/>
  <c r="J29" i="9" a="1"/>
  <c r="J29" i="9" s="1"/>
  <c r="J23" i="12" a="1"/>
  <c r="J23" i="12" s="1"/>
  <c r="X64" i="14" a="1"/>
  <c r="X64" i="14" s="1"/>
  <c r="W64" i="14" a="1"/>
  <c r="W64" i="14" s="1"/>
  <c r="J20" i="2" a="1"/>
  <c r="J20" i="2" s="1"/>
  <c r="J64" i="14"/>
  <c r="F12" i="14"/>
  <c r="H11" i="8"/>
  <c r="Y21" i="2" a="1"/>
  <c r="Y21" i="2" s="1"/>
  <c r="AB21" i="2" a="1"/>
  <c r="AB21" i="2" s="1"/>
  <c r="L21" i="2"/>
  <c r="Z21" i="2" a="1"/>
  <c r="Z21" i="2" s="1"/>
  <c r="AA21" i="2" a="1"/>
  <c r="AA21" i="2" s="1"/>
  <c r="H18" i="2"/>
  <c r="H11" i="12"/>
  <c r="Z13" i="11" a="1"/>
  <c r="Z13" i="11" s="1"/>
  <c r="J13" i="11" s="1" a="1"/>
  <c r="J13" i="11" s="1"/>
  <c r="L13" i="11"/>
  <c r="H11" i="11"/>
  <c r="L21" i="13"/>
  <c r="Y21" i="13" a="1"/>
  <c r="Y21" i="13" s="1"/>
  <c r="Z21" i="13" a="1"/>
  <c r="Z21" i="13" s="1"/>
  <c r="AA23" i="13" a="1"/>
  <c r="AA23" i="13" s="1"/>
  <c r="L23" i="13"/>
  <c r="Y23" i="13" a="1"/>
  <c r="Y23" i="13" s="1"/>
  <c r="Z23" i="13" a="1"/>
  <c r="Z23" i="13" s="1"/>
  <c r="AG37" i="13" a="1"/>
  <c r="AG37" i="13" s="1"/>
  <c r="Y37" i="13" a="1"/>
  <c r="Y37" i="13" s="1"/>
  <c r="Z37" i="13" a="1"/>
  <c r="Z37" i="13" s="1"/>
  <c r="AF37" i="13" a="1"/>
  <c r="AF37" i="13" s="1"/>
  <c r="AH37" i="13" a="1"/>
  <c r="AH37" i="13" s="1"/>
  <c r="AB37" i="13" a="1"/>
  <c r="AB37" i="13" s="1"/>
  <c r="AE37" i="13" a="1"/>
  <c r="AE37" i="13" s="1"/>
  <c r="AA37" i="13" a="1"/>
  <c r="AA37" i="13" s="1"/>
  <c r="AC37" i="13" a="1"/>
  <c r="AC37" i="13" s="1"/>
  <c r="AI37" i="13" a="1"/>
  <c r="AI37" i="13" s="1"/>
  <c r="AD37" i="13" a="1"/>
  <c r="AD37" i="13" s="1"/>
  <c r="L25" i="13"/>
  <c r="Y25" i="13" a="1"/>
  <c r="Y25" i="13" s="1"/>
  <c r="AB25" i="13" a="1"/>
  <c r="AB25" i="13" s="1"/>
  <c r="AA25" i="13" a="1"/>
  <c r="AA25" i="13" s="1"/>
  <c r="Z25" i="13" a="1"/>
  <c r="Z25" i="13" s="1"/>
  <c r="L28" i="13"/>
  <c r="Z28" i="13" a="1"/>
  <c r="Z28" i="13" s="1"/>
  <c r="Y28" i="13" a="1"/>
  <c r="Y28" i="13" s="1"/>
  <c r="L14" i="13"/>
  <c r="Z14" i="13" a="1"/>
  <c r="Z14" i="13" s="1"/>
  <c r="AB14" i="13" a="1"/>
  <c r="AB14" i="13" s="1"/>
  <c r="Y14" i="13" a="1"/>
  <c r="Y14" i="13" s="1"/>
  <c r="AA14" i="13" a="1"/>
  <c r="AA14" i="13" s="1"/>
  <c r="L30" i="13"/>
  <c r="AB30" i="13" a="1"/>
  <c r="AB30" i="13" s="1"/>
  <c r="Z30" i="13" a="1"/>
  <c r="Z30" i="13" s="1"/>
  <c r="AA30" i="13" a="1"/>
  <c r="AA30" i="13" s="1"/>
  <c r="Y30" i="13" a="1"/>
  <c r="Y30" i="13" s="1"/>
  <c r="L15" i="13"/>
  <c r="AA15" i="13" a="1"/>
  <c r="AA15" i="13" s="1"/>
  <c r="Y15" i="13" a="1"/>
  <c r="Y15" i="13" s="1"/>
  <c r="Z15" i="13" a="1"/>
  <c r="Z15" i="13" s="1"/>
  <c r="L24" i="13"/>
  <c r="Z24" i="13" a="1"/>
  <c r="Z24" i="13" s="1"/>
  <c r="Y24" i="13" a="1"/>
  <c r="Y24" i="13" s="1"/>
  <c r="AA24" i="13" a="1"/>
  <c r="AA24" i="13" s="1"/>
  <c r="L16" i="13"/>
  <c r="Z16" i="13" a="1"/>
  <c r="Z16" i="13" s="1"/>
  <c r="Y16" i="13" a="1"/>
  <c r="Y16" i="13" s="1"/>
  <c r="L18" i="13"/>
  <c r="AC18" i="13" a="1"/>
  <c r="AC18" i="13" s="1"/>
  <c r="AB18" i="13" a="1"/>
  <c r="AB18" i="13" s="1"/>
  <c r="AA18" i="13" a="1"/>
  <c r="AA18" i="13" s="1"/>
  <c r="Y18" i="13" a="1"/>
  <c r="Y18" i="13" s="1"/>
  <c r="Z18" i="13" a="1"/>
  <c r="Z18" i="13" s="1"/>
  <c r="H11" i="13"/>
  <c r="L13" i="13"/>
  <c r="Z13" i="13" a="1"/>
  <c r="Z13" i="13" s="1"/>
  <c r="Y13" i="13" a="1"/>
  <c r="Y13" i="13" s="1"/>
  <c r="Y19" i="13" a="1"/>
  <c r="Y19" i="13" s="1"/>
  <c r="AA19" i="13" a="1"/>
  <c r="AA19" i="13" s="1"/>
  <c r="Z19" i="13" a="1"/>
  <c r="Z19" i="13" s="1"/>
  <c r="L19" i="13"/>
  <c r="AB19" i="13" a="1"/>
  <c r="AB19" i="13" s="1"/>
  <c r="L27" i="13"/>
  <c r="AA27" i="13" a="1"/>
  <c r="AA27" i="13" s="1"/>
  <c r="Z27" i="13" a="1"/>
  <c r="Z27" i="13" s="1"/>
  <c r="Y27" i="13" a="1"/>
  <c r="Y27" i="13" s="1"/>
  <c r="L17" i="13"/>
  <c r="Z17" i="13" a="1"/>
  <c r="Z17" i="13" s="1"/>
  <c r="Y17" i="13" a="1"/>
  <c r="Y17" i="13" s="1"/>
  <c r="AC17" i="13" a="1"/>
  <c r="AC17" i="13" s="1"/>
  <c r="AB17" i="13" a="1"/>
  <c r="AB17" i="13" s="1"/>
  <c r="AA17" i="13" a="1"/>
  <c r="AA17" i="13" s="1"/>
  <c r="L22" i="13"/>
  <c r="AA22" i="13" a="1"/>
  <c r="AA22" i="13" s="1"/>
  <c r="Z22" i="13" a="1"/>
  <c r="Z22" i="13" s="1"/>
  <c r="Y22" i="13" a="1"/>
  <c r="Y22" i="13" s="1"/>
  <c r="L20" i="13"/>
  <c r="Y20" i="13" a="1"/>
  <c r="Y20" i="13" s="1"/>
  <c r="Z20" i="13" a="1"/>
  <c r="Z20" i="13" s="1"/>
  <c r="L26" i="13"/>
  <c r="AA26" i="13" a="1"/>
  <c r="AA26" i="13" s="1"/>
  <c r="Z26" i="13" a="1"/>
  <c r="Z26" i="13" s="1"/>
  <c r="Y26" i="13" a="1"/>
  <c r="Y26" i="13" s="1"/>
  <c r="L21" i="12"/>
  <c r="Z21" i="12" a="1"/>
  <c r="Z21" i="12" s="1"/>
  <c r="Y21" i="12" a="1"/>
  <c r="Y21" i="12" s="1"/>
  <c r="L26" i="12"/>
  <c r="Z26" i="12" a="1"/>
  <c r="Z26" i="12" s="1"/>
  <c r="Y26" i="12" a="1"/>
  <c r="Y26" i="12" s="1"/>
  <c r="AA26" i="12" a="1"/>
  <c r="AA26" i="12" s="1"/>
  <c r="L30" i="12"/>
  <c r="AB30" i="12" a="1"/>
  <c r="AB30" i="12" s="1"/>
  <c r="Z30" i="12" a="1"/>
  <c r="Z30" i="12" s="1"/>
  <c r="AA30" i="12" a="1"/>
  <c r="AA30" i="12" s="1"/>
  <c r="Y30" i="12" a="1"/>
  <c r="Y30" i="12" s="1"/>
  <c r="L14" i="12"/>
  <c r="Z14" i="12" a="1"/>
  <c r="Z14" i="12" s="1"/>
  <c r="AB14" i="12" a="1"/>
  <c r="AB14" i="12" s="1"/>
  <c r="Y14" i="12" a="1"/>
  <c r="Y14" i="12" s="1"/>
  <c r="AA14" i="12" a="1"/>
  <c r="AA14" i="12" s="1"/>
  <c r="L15" i="12"/>
  <c r="Z15" i="12" a="1"/>
  <c r="Z15" i="12" s="1"/>
  <c r="Y15" i="12" a="1"/>
  <c r="Y15" i="12" s="1"/>
  <c r="AA15" i="12" a="1"/>
  <c r="AA15" i="12" s="1"/>
  <c r="L29" i="12"/>
  <c r="AB29" i="12" a="1"/>
  <c r="AB29" i="12" s="1"/>
  <c r="Y29" i="12" a="1"/>
  <c r="Y29" i="12" s="1"/>
  <c r="AA29" i="12" a="1"/>
  <c r="AA29" i="12" s="1"/>
  <c r="Z29" i="12" a="1"/>
  <c r="Z29" i="12" s="1"/>
  <c r="L20" i="12"/>
  <c r="Y20" i="12" a="1"/>
  <c r="Y20" i="12" s="1"/>
  <c r="Z20" i="12" a="1"/>
  <c r="Z20" i="12" s="1"/>
  <c r="Z16" i="12" a="1"/>
  <c r="Z16" i="12" s="1"/>
  <c r="L16" i="12"/>
  <c r="Y16" i="12" a="1"/>
  <c r="Y16" i="12" s="1"/>
  <c r="L25" i="12"/>
  <c r="AA25" i="12" a="1"/>
  <c r="AA25" i="12" s="1"/>
  <c r="AB25" i="12" a="1"/>
  <c r="AB25" i="12" s="1"/>
  <c r="Z25" i="12" a="1"/>
  <c r="Z25" i="12" s="1"/>
  <c r="Y25" i="12" a="1"/>
  <c r="Y25" i="12" s="1"/>
  <c r="L18" i="12"/>
  <c r="AA18" i="12" a="1"/>
  <c r="AA18" i="12" s="1"/>
  <c r="AB18" i="12" a="1"/>
  <c r="AB18" i="12" s="1"/>
  <c r="Z18" i="12" a="1"/>
  <c r="Z18" i="12" s="1"/>
  <c r="AC18" i="12" a="1"/>
  <c r="AC18" i="12" s="1"/>
  <c r="Y18" i="12" a="1"/>
  <c r="Y18" i="12" s="1"/>
  <c r="AF31" i="12" a="1"/>
  <c r="AF31" i="12" s="1"/>
  <c r="AB31" i="12" a="1"/>
  <c r="AB31" i="12" s="1"/>
  <c r="L31" i="12"/>
  <c r="AG31" i="12" a="1"/>
  <c r="AG31" i="12" s="1"/>
  <c r="AH31" i="12" a="1"/>
  <c r="AH31" i="12" s="1"/>
  <c r="AC31" i="12" a="1"/>
  <c r="AC31" i="12" s="1"/>
  <c r="AE31" i="12" a="1"/>
  <c r="AE31" i="12" s="1"/>
  <c r="AA31" i="12" a="1"/>
  <c r="AA31" i="12" s="1"/>
  <c r="Z31" i="12" a="1"/>
  <c r="Z31" i="12" s="1"/>
  <c r="AD31" i="12" a="1"/>
  <c r="AD31" i="12" s="1"/>
  <c r="Y31" i="12" a="1"/>
  <c r="Y31" i="12" s="1"/>
  <c r="AI31" i="12" a="1"/>
  <c r="AI31" i="12" s="1"/>
  <c r="L22" i="12"/>
  <c r="AA22" i="12" a="1"/>
  <c r="AA22" i="12" s="1"/>
  <c r="Y22" i="12" a="1"/>
  <c r="Y22" i="12" s="1"/>
  <c r="Z22" i="12" a="1"/>
  <c r="Z22" i="12" s="1"/>
  <c r="L19" i="12"/>
  <c r="AA19" i="12" a="1"/>
  <c r="AA19" i="12" s="1"/>
  <c r="AB19" i="12" a="1"/>
  <c r="AB19" i="12" s="1"/>
  <c r="Y19" i="12" a="1"/>
  <c r="Y19" i="12" s="1"/>
  <c r="Z19" i="12" a="1"/>
  <c r="Z19" i="12" s="1"/>
  <c r="Z27" i="12" a="1"/>
  <c r="Z27" i="12" s="1"/>
  <c r="L27" i="12"/>
  <c r="Y27" i="12" a="1"/>
  <c r="Y27" i="12" s="1"/>
  <c r="AA27" i="12" a="1"/>
  <c r="AA27" i="12" s="1"/>
  <c r="L14" i="11"/>
  <c r="AB14" i="11" a="1"/>
  <c r="AB14" i="11" s="1"/>
  <c r="Z14" i="11" a="1"/>
  <c r="Z14" i="11" s="1"/>
  <c r="AA14" i="11" a="1"/>
  <c r="AA14" i="11" s="1"/>
  <c r="Y14" i="11" a="1"/>
  <c r="Y14" i="11" s="1"/>
  <c r="AA20" i="10" a="1"/>
  <c r="AA20" i="10" s="1"/>
  <c r="L20" i="10"/>
  <c r="AB20" i="10" a="1"/>
  <c r="AB20" i="10" s="1"/>
  <c r="H11" i="10"/>
  <c r="L13" i="10"/>
  <c r="Y13" i="10" a="1"/>
  <c r="Y13" i="10" s="1"/>
  <c r="Z13" i="10" a="1"/>
  <c r="Z13" i="10" s="1"/>
  <c r="L15" i="10"/>
  <c r="AA15" i="10" a="1"/>
  <c r="AA15" i="10" s="1"/>
  <c r="Y15" i="10" a="1"/>
  <c r="Y15" i="10" s="1"/>
  <c r="Z15" i="10" a="1"/>
  <c r="Z15" i="10" s="1"/>
  <c r="L22" i="10"/>
  <c r="Y22" i="10" a="1"/>
  <c r="Y22" i="10" s="1"/>
  <c r="L14" i="10"/>
  <c r="AA14" i="10" a="1"/>
  <c r="AA14" i="10" s="1"/>
  <c r="AB14" i="10" a="1"/>
  <c r="AB14" i="10" s="1"/>
  <c r="Y14" i="10" a="1"/>
  <c r="Y14" i="10" s="1"/>
  <c r="Z14" i="10" a="1"/>
  <c r="Z14" i="10" s="1"/>
  <c r="L16" i="10"/>
  <c r="Y16" i="10" a="1"/>
  <c r="Y16" i="10" s="1"/>
  <c r="Z16" i="10" a="1"/>
  <c r="Z16" i="10" s="1"/>
  <c r="L24" i="9"/>
  <c r="Y24" i="9" a="1"/>
  <c r="Y24" i="9" s="1"/>
  <c r="Z24" i="9" a="1"/>
  <c r="Z24" i="9" s="1"/>
  <c r="AA24" i="9" a="1"/>
  <c r="AA24" i="9" s="1"/>
  <c r="L30" i="9"/>
  <c r="Z30" i="9" a="1"/>
  <c r="Z30" i="9" s="1"/>
  <c r="AA30" i="9" a="1"/>
  <c r="AA30" i="9" s="1"/>
  <c r="Y30" i="9" a="1"/>
  <c r="Y30" i="9" s="1"/>
  <c r="AB30" i="9" a="1"/>
  <c r="AB30" i="9" s="1"/>
  <c r="L31" i="9"/>
  <c r="AB31" i="9" a="1"/>
  <c r="AB31" i="9" s="1"/>
  <c r="Y31" i="9" a="1"/>
  <c r="Y31" i="9" s="1"/>
  <c r="Z31" i="9" a="1"/>
  <c r="Z31" i="9" s="1"/>
  <c r="AA31" i="9" a="1"/>
  <c r="AA31" i="9" s="1"/>
  <c r="AD31" i="9" a="1"/>
  <c r="AD31" i="9" s="1"/>
  <c r="AI31" i="9" a="1"/>
  <c r="AI31" i="9" s="1"/>
  <c r="AC31" i="9" a="1"/>
  <c r="AC31" i="9" s="1"/>
  <c r="AH31" i="9" a="1"/>
  <c r="AH31" i="9" s="1"/>
  <c r="AF31" i="9" a="1"/>
  <c r="AF31" i="9" s="1"/>
  <c r="AE31" i="9" a="1"/>
  <c r="AE31" i="9" s="1"/>
  <c r="AG31" i="9" a="1"/>
  <c r="AG31" i="9" s="1"/>
  <c r="L27" i="9"/>
  <c r="Y27" i="9" a="1"/>
  <c r="Y27" i="9" s="1"/>
  <c r="Z27" i="9" a="1"/>
  <c r="Z27" i="9" s="1"/>
  <c r="AA27" i="9" a="1"/>
  <c r="AA27" i="9" s="1"/>
  <c r="Z23" i="9" a="1"/>
  <c r="Z23" i="9" s="1"/>
  <c r="L23" i="9"/>
  <c r="AA23" i="9" a="1"/>
  <c r="AA23" i="9" s="1"/>
  <c r="Y23" i="9" a="1"/>
  <c r="Y23" i="9" s="1"/>
  <c r="L17" i="9"/>
  <c r="AC17" i="9" a="1"/>
  <c r="AC17" i="9" s="1"/>
  <c r="Z17" i="9" a="1"/>
  <c r="Z17" i="9" s="1"/>
  <c r="AB17" i="9" a="1"/>
  <c r="AB17" i="9" s="1"/>
  <c r="Y17" i="9" a="1"/>
  <c r="Y17" i="9" s="1"/>
  <c r="AA17" i="9" a="1"/>
  <c r="AA17" i="9" s="1"/>
  <c r="L13" i="9"/>
  <c r="H11" i="9"/>
  <c r="Z13" i="9" a="1"/>
  <c r="Z13" i="9" s="1"/>
  <c r="Y13" i="9" a="1"/>
  <c r="Y13" i="9" s="1"/>
  <c r="L28" i="9"/>
  <c r="Y28" i="9" a="1"/>
  <c r="Y28" i="9" s="1"/>
  <c r="Z28" i="9" a="1"/>
  <c r="Z28" i="9" s="1"/>
  <c r="L15" i="9"/>
  <c r="Y15" i="9" a="1"/>
  <c r="Y15" i="9" s="1"/>
  <c r="AA15" i="9" a="1"/>
  <c r="AA15" i="9" s="1"/>
  <c r="Z15" i="9" a="1"/>
  <c r="Z15" i="9" s="1"/>
  <c r="L25" i="9"/>
  <c r="Y25" i="9" a="1"/>
  <c r="Y25" i="9" s="1"/>
  <c r="AA25" i="9" a="1"/>
  <c r="AA25" i="9" s="1"/>
  <c r="Z25" i="9" a="1"/>
  <c r="Z25" i="9" s="1"/>
  <c r="AB25" i="9" a="1"/>
  <c r="AB25" i="9" s="1"/>
  <c r="L16" i="9"/>
  <c r="Z16" i="9" a="1"/>
  <c r="Z16" i="9" s="1"/>
  <c r="Y16" i="9" a="1"/>
  <c r="Y16" i="9" s="1"/>
  <c r="L19" i="9"/>
  <c r="Z19" i="9" a="1"/>
  <c r="Z19" i="9" s="1"/>
  <c r="Y19" i="9" a="1"/>
  <c r="Y19" i="9" s="1"/>
  <c r="AB19" i="9" a="1"/>
  <c r="AB19" i="9" s="1"/>
  <c r="AA19" i="9" a="1"/>
  <c r="AA19" i="9" s="1"/>
  <c r="L14" i="9"/>
  <c r="AB14" i="9" a="1"/>
  <c r="AB14" i="9" s="1"/>
  <c r="Y14" i="9" a="1"/>
  <c r="Y14" i="9" s="1"/>
  <c r="AA14" i="9" a="1"/>
  <c r="AA14" i="9" s="1"/>
  <c r="Z14" i="9" a="1"/>
  <c r="Z14" i="9" s="1"/>
  <c r="L22" i="9"/>
  <c r="AA22" i="9" a="1"/>
  <c r="AA22" i="9" s="1"/>
  <c r="Y22" i="9" a="1"/>
  <c r="Y22" i="9" s="1"/>
  <c r="Z22" i="9" a="1"/>
  <c r="Z22" i="9" s="1"/>
  <c r="L21" i="9"/>
  <c r="Z21" i="9" a="1"/>
  <c r="Z21" i="9" s="1"/>
  <c r="Y21" i="9" a="1"/>
  <c r="Y21" i="9" s="1"/>
  <c r="L26" i="9"/>
  <c r="Y26" i="9" a="1"/>
  <c r="Y26" i="9" s="1"/>
  <c r="AA26" i="9" a="1"/>
  <c r="AA26" i="9" s="1"/>
  <c r="Z26" i="9" a="1"/>
  <c r="Z26" i="9" s="1"/>
  <c r="AA18" i="9" a="1"/>
  <c r="AA18" i="9" s="1"/>
  <c r="L18" i="9"/>
  <c r="AC18" i="9" a="1"/>
  <c r="AC18" i="9" s="1"/>
  <c r="Y18" i="9" a="1"/>
  <c r="Y18" i="9" s="1"/>
  <c r="Z18" i="9" a="1"/>
  <c r="Z18" i="9" s="1"/>
  <c r="AB18" i="9" a="1"/>
  <c r="AB18" i="9" s="1"/>
  <c r="L14" i="8"/>
  <c r="Y14" i="8" a="1"/>
  <c r="Y14" i="8" s="1"/>
  <c r="AB14" i="8" a="1"/>
  <c r="AB14" i="8" s="1"/>
  <c r="Z14" i="8" a="1"/>
  <c r="Z14" i="8" s="1"/>
  <c r="AA14" i="8" a="1"/>
  <c r="AA14" i="8" s="1"/>
  <c r="J23" i="10" l="1" a="1"/>
  <c r="J23" i="10" s="1"/>
  <c r="J27" i="10" a="1"/>
  <c r="J27" i="10" s="1"/>
  <c r="J17" i="10" a="1"/>
  <c r="J17" i="10" s="1"/>
  <c r="J15" i="8" a="1"/>
  <c r="J15" i="8" s="1"/>
  <c r="J26" i="10" a="1"/>
  <c r="J26" i="10" s="1"/>
  <c r="J18" i="10" a="1"/>
  <c r="J18" i="10" s="1"/>
  <c r="J16" i="12" a="1"/>
  <c r="J16" i="12" s="1"/>
  <c r="J29" i="12" a="1"/>
  <c r="J29" i="12" s="1"/>
  <c r="J18" i="9" a="1"/>
  <c r="J18" i="9" s="1"/>
  <c r="J21" i="9" a="1"/>
  <c r="J21" i="9" s="1"/>
  <c r="J25" i="10" a="1"/>
  <c r="J25" i="10" s="1"/>
  <c r="J14" i="11" a="1"/>
  <c r="J14" i="11" s="1"/>
  <c r="H60" i="14" a="1"/>
  <c r="H60" i="14" s="1"/>
  <c r="H20" i="14" a="1"/>
  <c r="H20" i="14" s="1"/>
  <c r="H46" i="14" a="1"/>
  <c r="H46" i="14" s="1"/>
  <c r="H22" i="14" a="1"/>
  <c r="H22" i="14" s="1"/>
  <c r="H43" i="14" a="1"/>
  <c r="H43" i="14" s="1"/>
  <c r="H44" i="14" a="1"/>
  <c r="H44" i="14" s="1"/>
  <c r="H45" i="14" a="1"/>
  <c r="H45" i="14" s="1"/>
  <c r="H41" i="14" a="1"/>
  <c r="H41" i="14" s="1"/>
  <c r="H42" i="14" a="1"/>
  <c r="H42" i="14" s="1"/>
  <c r="H62" i="14" a="1"/>
  <c r="H62" i="14" s="1"/>
  <c r="H23" i="14" a="1"/>
  <c r="H23" i="14" s="1"/>
  <c r="H59" i="14" a="1"/>
  <c r="H59" i="14" s="1"/>
  <c r="H21" i="14" a="1"/>
  <c r="H21" i="14" s="1"/>
  <c r="H24" i="14" a="1"/>
  <c r="H24" i="14" s="1"/>
  <c r="H58" i="14" a="1"/>
  <c r="H58" i="14" s="1"/>
  <c r="H57" i="14" a="1"/>
  <c r="H57" i="14" s="1"/>
  <c r="H63" i="14" a="1"/>
  <c r="H63" i="14" s="1"/>
  <c r="H61" i="14" a="1"/>
  <c r="H61" i="14" s="1"/>
  <c r="H14" i="14" a="1"/>
  <c r="H14" i="14" s="1"/>
  <c r="H34" i="14" a="1"/>
  <c r="H34" i="14" s="1"/>
  <c r="H53" i="14" a="1"/>
  <c r="H53" i="14" s="1"/>
  <c r="H54" i="14" a="1"/>
  <c r="H54" i="14" s="1"/>
  <c r="H31" i="14" a="1"/>
  <c r="H31" i="14" s="1"/>
  <c r="H33" i="14" a="1"/>
  <c r="H33" i="14" s="1"/>
  <c r="H39" i="14" a="1"/>
  <c r="H39" i="14" s="1"/>
  <c r="H50" i="14" a="1"/>
  <c r="H50" i="14" s="1"/>
  <c r="H56" i="14" a="1"/>
  <c r="H56" i="14" s="1"/>
  <c r="H26" i="14" a="1"/>
  <c r="H26" i="14" s="1"/>
  <c r="H27" i="14" a="1"/>
  <c r="H27" i="14" s="1"/>
  <c r="H16" i="14" a="1"/>
  <c r="H16" i="14" s="1"/>
  <c r="H52" i="14" a="1"/>
  <c r="H52" i="14" s="1"/>
  <c r="H18" i="14" a="1"/>
  <c r="H18" i="14" s="1"/>
  <c r="H29" i="14" a="1"/>
  <c r="H29" i="14" s="1"/>
  <c r="H55" i="14" a="1"/>
  <c r="H55" i="14" s="1"/>
  <c r="H28" i="14" a="1"/>
  <c r="H28" i="14" s="1"/>
  <c r="H36" i="14" a="1"/>
  <c r="H36" i="14" s="1"/>
  <c r="H32" i="14" a="1"/>
  <c r="H32" i="14" s="1"/>
  <c r="H49" i="14" a="1"/>
  <c r="H49" i="14" s="1"/>
  <c r="H15" i="14" a="1"/>
  <c r="H15" i="14" s="1"/>
  <c r="H30" i="14" a="1"/>
  <c r="H30" i="14" s="1"/>
  <c r="H37" i="14" a="1"/>
  <c r="H37" i="14" s="1"/>
  <c r="H51" i="14" a="1"/>
  <c r="H51" i="14" s="1"/>
  <c r="H17" i="14" a="1"/>
  <c r="H17" i="14" s="1"/>
  <c r="H25" i="14" a="1"/>
  <c r="H25" i="14" s="1"/>
  <c r="H35" i="14" a="1"/>
  <c r="H35" i="14" s="1"/>
  <c r="H19" i="14" a="1"/>
  <c r="H19" i="14" s="1"/>
  <c r="H47" i="14" a="1"/>
  <c r="H47" i="14" s="1"/>
  <c r="H38" i="14" a="1"/>
  <c r="H38" i="14" s="1"/>
  <c r="H40" i="14" a="1"/>
  <c r="H40" i="14" s="1"/>
  <c r="H48" i="14" a="1"/>
  <c r="H48" i="14" s="1"/>
  <c r="J29" i="13" a="1"/>
  <c r="J29" i="13" s="1"/>
  <c r="J19" i="13" a="1"/>
  <c r="J19" i="13" s="1"/>
  <c r="J27" i="13" a="1"/>
  <c r="J27" i="13" s="1"/>
  <c r="J28" i="13" a="1"/>
  <c r="J28" i="13" s="1"/>
  <c r="J13" i="13" a="1"/>
  <c r="J13" i="13" s="1"/>
  <c r="J20" i="12" a="1"/>
  <c r="J20" i="12" s="1"/>
  <c r="J14" i="12" a="1"/>
  <c r="J14" i="12" s="1"/>
  <c r="J13" i="9" a="1"/>
  <c r="J13" i="9" s="1"/>
  <c r="J23" i="9" a="1"/>
  <c r="J23" i="9" s="1"/>
  <c r="J24" i="9" a="1"/>
  <c r="J24" i="9" s="1"/>
  <c r="H64" i="14" a="1"/>
  <c r="H64" i="14" s="1"/>
  <c r="J19" i="10" a="1"/>
  <c r="J19" i="10" s="1"/>
  <c r="J24" i="10" a="1"/>
  <c r="J24" i="10" s="1"/>
  <c r="J15" i="10" a="1"/>
  <c r="J15" i="10" s="1"/>
  <c r="J15" i="9" a="1"/>
  <c r="J15" i="9" s="1"/>
  <c r="J31" i="9" a="1"/>
  <c r="J31" i="9" s="1"/>
  <c r="J22" i="9" a="1"/>
  <c r="J22" i="9" s="1"/>
  <c r="J17" i="9" a="1"/>
  <c r="J17" i="9" s="1"/>
  <c r="J26" i="9" a="1"/>
  <c r="J26" i="9" s="1"/>
  <c r="J19" i="9" a="1"/>
  <c r="J19" i="9" s="1"/>
  <c r="J28" i="9" a="1"/>
  <c r="J28" i="9" s="1"/>
  <c r="J25" i="9" a="1"/>
  <c r="J25" i="9" s="1"/>
  <c r="J30" i="9" a="1"/>
  <c r="J30" i="9" s="1"/>
  <c r="J27" i="9" a="1"/>
  <c r="J27" i="9" s="1"/>
  <c r="J14" i="9" a="1"/>
  <c r="J14" i="9" s="1"/>
  <c r="J16" i="9" a="1"/>
  <c r="J16" i="9" s="1"/>
  <c r="J16" i="10" a="1"/>
  <c r="J16" i="10" s="1"/>
  <c r="J13" i="10" a="1"/>
  <c r="J13" i="10" s="1"/>
  <c r="J22" i="10" a="1"/>
  <c r="J22" i="10" s="1"/>
  <c r="J14" i="10" a="1"/>
  <c r="J14" i="10" s="1"/>
  <c r="J20" i="10" a="1"/>
  <c r="J20" i="10" s="1"/>
  <c r="J22" i="12" a="1"/>
  <c r="J22" i="12" s="1"/>
  <c r="J31" i="12" a="1"/>
  <c r="J31" i="12" s="1"/>
  <c r="J26" i="12" a="1"/>
  <c r="J26" i="12" s="1"/>
  <c r="J19" i="12" a="1"/>
  <c r="J19" i="12" s="1"/>
  <c r="J25" i="12" a="1"/>
  <c r="J25" i="12" s="1"/>
  <c r="J15" i="12" a="1"/>
  <c r="J15" i="12" s="1"/>
  <c r="J30" i="12" a="1"/>
  <c r="J30" i="12" s="1"/>
  <c r="J18" i="12" a="1"/>
  <c r="J18" i="12" s="1"/>
  <c r="J21" i="12" a="1"/>
  <c r="J21" i="12" s="1"/>
  <c r="J27" i="12" a="1"/>
  <c r="J27" i="12" s="1"/>
  <c r="J18" i="13" a="1"/>
  <c r="J18" i="13" s="1"/>
  <c r="J26" i="13" a="1"/>
  <c r="J26" i="13" s="1"/>
  <c r="J24" i="13" a="1"/>
  <c r="J24" i="13" s="1"/>
  <c r="J21" i="13" a="1"/>
  <c r="J21" i="13" s="1"/>
  <c r="J37" i="13" a="1"/>
  <c r="J37" i="13" s="1"/>
  <c r="J16" i="13" a="1"/>
  <c r="J16" i="13" s="1"/>
  <c r="J15" i="13" a="1"/>
  <c r="J15" i="13" s="1"/>
  <c r="J20" i="13" a="1"/>
  <c r="J20" i="13" s="1"/>
  <c r="J14" i="13" a="1"/>
  <c r="J14" i="13" s="1"/>
  <c r="J17" i="13" a="1"/>
  <c r="J17" i="13" s="1"/>
  <c r="J23" i="13" a="1"/>
  <c r="J23" i="13" s="1"/>
  <c r="J22" i="13" a="1"/>
  <c r="J22" i="13" s="1"/>
  <c r="J30" i="13" a="1"/>
  <c r="J30" i="13" s="1"/>
  <c r="J25" i="13" a="1"/>
  <c r="J25" i="13" s="1"/>
  <c r="J14" i="8" a="1"/>
  <c r="J14" i="8" s="1"/>
  <c r="J12" i="14"/>
  <c r="E25" i="4" s="1"/>
  <c r="J21" i="2" a="1"/>
  <c r="J21" i="2" s="1"/>
  <c r="L11" i="8"/>
  <c r="E14" i="4" s="1"/>
  <c r="L18" i="2"/>
  <c r="L11" i="12"/>
  <c r="E19" i="4" s="1"/>
  <c r="L11" i="11"/>
  <c r="E17" i="4" s="1"/>
  <c r="L11" i="13"/>
  <c r="E20" i="4" s="1"/>
  <c r="L11" i="10"/>
  <c r="E16" i="4" s="1"/>
  <c r="L11" i="9"/>
  <c r="E18" i="4" s="1"/>
  <c r="G21" i="1" l="1"/>
  <c r="H24" i="1" s="1"/>
  <c r="L24" i="1" l="1"/>
  <c r="AA24" i="1" a="1"/>
  <c r="AA24" i="1" s="1"/>
  <c r="Z24" i="1" a="1"/>
  <c r="Z24" i="1" s="1"/>
  <c r="Y24" i="1" a="1"/>
  <c r="Y24" i="1" s="1"/>
  <c r="H46" i="1"/>
  <c r="H47" i="1"/>
  <c r="H30" i="1"/>
  <c r="H31" i="1"/>
  <c r="H38" i="1"/>
  <c r="H32" i="1"/>
  <c r="H35" i="1"/>
  <c r="H40" i="1"/>
  <c r="H44" i="1"/>
  <c r="H37" i="1"/>
  <c r="H48" i="1"/>
  <c r="H28" i="1"/>
  <c r="H42" i="1"/>
  <c r="H27" i="1"/>
  <c r="H36" i="1"/>
  <c r="H45" i="1"/>
  <c r="H26" i="1"/>
  <c r="H39" i="1"/>
  <c r="H29" i="1"/>
  <c r="H34" i="1"/>
  <c r="H25" i="1"/>
  <c r="H33" i="1"/>
  <c r="H43" i="1"/>
  <c r="H41" i="1"/>
  <c r="H50" i="1"/>
  <c r="H58" i="1"/>
  <c r="H56" i="1"/>
  <c r="H52" i="1"/>
  <c r="H57" i="1"/>
  <c r="H55" i="1"/>
  <c r="H53" i="1"/>
  <c r="H59" i="1"/>
  <c r="H60" i="1"/>
  <c r="H54" i="1"/>
  <c r="H51" i="1"/>
  <c r="H49" i="1"/>
  <c r="H65" i="1"/>
  <c r="H62" i="1"/>
  <c r="H61" i="1"/>
  <c r="H64" i="1"/>
  <c r="H63" i="1"/>
  <c r="H23" i="1"/>
  <c r="J24" i="1" l="1" a="1"/>
  <c r="J24" i="1" s="1"/>
  <c r="L65" i="1"/>
  <c r="Z65" i="1" a="1"/>
  <c r="Z65" i="1" s="1"/>
  <c r="Y65" i="1" a="1"/>
  <c r="Y65" i="1" s="1"/>
  <c r="AA65" i="1" a="1"/>
  <c r="AA65" i="1" s="1"/>
  <c r="L57" i="1"/>
  <c r="Y57" i="1" a="1"/>
  <c r="Y57" i="1" s="1"/>
  <c r="AA57" i="1" a="1"/>
  <c r="AA57" i="1" s="1"/>
  <c r="Z57" i="1" a="1"/>
  <c r="Z57" i="1" s="1"/>
  <c r="L25" i="1"/>
  <c r="AA25" i="1" a="1"/>
  <c r="AA25" i="1" s="1"/>
  <c r="Z25" i="1" a="1"/>
  <c r="Z25" i="1" s="1"/>
  <c r="Y25" i="1" a="1"/>
  <c r="Y25" i="1" s="1"/>
  <c r="L42" i="1"/>
  <c r="AA42" i="1" a="1"/>
  <c r="AA42" i="1" s="1"/>
  <c r="Z42" i="1" a="1"/>
  <c r="Z42" i="1" s="1"/>
  <c r="Y42" i="1" a="1"/>
  <c r="Y42" i="1" s="1"/>
  <c r="L38" i="1"/>
  <c r="AA38" i="1" a="1"/>
  <c r="AA38" i="1" s="1"/>
  <c r="Z38" i="1" a="1"/>
  <c r="Z38" i="1" s="1"/>
  <c r="Y38" i="1" a="1"/>
  <c r="Y38" i="1" s="1"/>
  <c r="L49" i="1"/>
  <c r="Y49" i="1" a="1"/>
  <c r="Y49" i="1" s="1"/>
  <c r="AA49" i="1" a="1"/>
  <c r="AA49" i="1" s="1"/>
  <c r="Z49" i="1" a="1"/>
  <c r="Z49" i="1" s="1"/>
  <c r="L52" i="1"/>
  <c r="Y52" i="1" a="1"/>
  <c r="Y52" i="1" s="1"/>
  <c r="AA52" i="1" a="1"/>
  <c r="AA52" i="1" s="1"/>
  <c r="Z52" i="1" a="1"/>
  <c r="Z52" i="1" s="1"/>
  <c r="L34" i="1"/>
  <c r="AA34" i="1" a="1"/>
  <c r="AA34" i="1" s="1"/>
  <c r="Z34" i="1" a="1"/>
  <c r="Z34" i="1" s="1"/>
  <c r="Y34" i="1" a="1"/>
  <c r="Y34" i="1" s="1"/>
  <c r="L28" i="1"/>
  <c r="Y28" i="1" a="1"/>
  <c r="Y28" i="1" s="1"/>
  <c r="AA28" i="1" a="1"/>
  <c r="AA28" i="1" s="1"/>
  <c r="Z28" i="1" a="1"/>
  <c r="Z28" i="1" s="1"/>
  <c r="L31" i="1"/>
  <c r="Z31" i="1" a="1"/>
  <c r="Z31" i="1" s="1"/>
  <c r="Y31" i="1" a="1"/>
  <c r="Y31" i="1" s="1"/>
  <c r="AA31" i="1" a="1"/>
  <c r="AA31" i="1" s="1"/>
  <c r="L62" i="1"/>
  <c r="Z62" i="1" a="1"/>
  <c r="Z62" i="1" s="1"/>
  <c r="Y62" i="1" a="1"/>
  <c r="Y62" i="1" s="1"/>
  <c r="AA62" i="1" a="1"/>
  <c r="AA62" i="1" s="1"/>
  <c r="L55" i="1"/>
  <c r="AA55" i="1" a="1"/>
  <c r="AA55" i="1" s="1"/>
  <c r="Z55" i="1" a="1"/>
  <c r="Z55" i="1" s="1"/>
  <c r="Y55" i="1" a="1"/>
  <c r="Y55" i="1" s="1"/>
  <c r="L33" i="1"/>
  <c r="AA33" i="1" a="1"/>
  <c r="AA33" i="1" s="1"/>
  <c r="Z33" i="1" a="1"/>
  <c r="Z33" i="1" s="1"/>
  <c r="Y33" i="1" a="1"/>
  <c r="Y33" i="1" s="1"/>
  <c r="L32" i="1"/>
  <c r="Z32" i="1" a="1"/>
  <c r="Z32" i="1" s="1"/>
  <c r="AA32" i="1" a="1"/>
  <c r="AA32" i="1" s="1"/>
  <c r="Y32" i="1" a="1"/>
  <c r="Y32" i="1" s="1"/>
  <c r="L51" i="1"/>
  <c r="Y51" i="1" a="1"/>
  <c r="Y51" i="1" s="1"/>
  <c r="AA51" i="1" a="1"/>
  <c r="AA51" i="1" s="1"/>
  <c r="Z51" i="1" a="1"/>
  <c r="Z51" i="1" s="1"/>
  <c r="L56" i="1"/>
  <c r="Z56" i="1" a="1"/>
  <c r="Z56" i="1" s="1"/>
  <c r="Y56" i="1" a="1"/>
  <c r="Y56" i="1" s="1"/>
  <c r="AA56" i="1" a="1"/>
  <c r="AA56" i="1" s="1"/>
  <c r="L29" i="1"/>
  <c r="Z29" i="1" a="1"/>
  <c r="Z29" i="1" s="1"/>
  <c r="AA29" i="1" a="1"/>
  <c r="AA29" i="1" s="1"/>
  <c r="Y29" i="1" a="1"/>
  <c r="Y29" i="1" s="1"/>
  <c r="L48" i="1"/>
  <c r="Z48" i="1" a="1"/>
  <c r="Z48" i="1" s="1"/>
  <c r="AA48" i="1" a="1"/>
  <c r="AA48" i="1" s="1"/>
  <c r="Y48" i="1" a="1"/>
  <c r="Y48" i="1" s="1"/>
  <c r="L30" i="1"/>
  <c r="Y30" i="1" a="1"/>
  <c r="Y30" i="1" s="1"/>
  <c r="Z30" i="1" a="1"/>
  <c r="Z30" i="1" s="1"/>
  <c r="AA30" i="1" a="1"/>
  <c r="AA30" i="1" s="1"/>
  <c r="L54" i="1"/>
  <c r="Z54" i="1" a="1"/>
  <c r="Z54" i="1" s="1"/>
  <c r="Y54" i="1" a="1"/>
  <c r="Y54" i="1" s="1"/>
  <c r="AA54" i="1" a="1"/>
  <c r="AA54" i="1" s="1"/>
  <c r="L58" i="1"/>
  <c r="Y58" i="1" a="1"/>
  <c r="Y58" i="1" s="1"/>
  <c r="AA58" i="1" a="1"/>
  <c r="AA58" i="1" s="1"/>
  <c r="Z58" i="1" a="1"/>
  <c r="Z58" i="1" s="1"/>
  <c r="L39" i="1"/>
  <c r="AA39" i="1" a="1"/>
  <c r="AA39" i="1" s="1"/>
  <c r="Y39" i="1" a="1"/>
  <c r="Y39" i="1" s="1"/>
  <c r="Z39" i="1" a="1"/>
  <c r="Z39" i="1" s="1"/>
  <c r="L37" i="1"/>
  <c r="Z37" i="1" a="1"/>
  <c r="Z37" i="1" s="1"/>
  <c r="AA37" i="1" a="1"/>
  <c r="AA37" i="1" s="1"/>
  <c r="Y37" i="1" a="1"/>
  <c r="Y37" i="1" s="1"/>
  <c r="L47" i="1"/>
  <c r="AA47" i="1" a="1"/>
  <c r="AA47" i="1" s="1"/>
  <c r="Y47" i="1" a="1"/>
  <c r="Y47" i="1" s="1"/>
  <c r="Z47" i="1" a="1"/>
  <c r="Z47" i="1" s="1"/>
  <c r="L63" i="1"/>
  <c r="Y63" i="1" a="1"/>
  <c r="Y63" i="1" s="1"/>
  <c r="AA63" i="1" a="1"/>
  <c r="AA63" i="1" s="1"/>
  <c r="Z63" i="1" a="1"/>
  <c r="Z63" i="1" s="1"/>
  <c r="L60" i="1"/>
  <c r="Z60" i="1" a="1"/>
  <c r="Z60" i="1" s="1"/>
  <c r="Y60" i="1" a="1"/>
  <c r="Y60" i="1" s="1"/>
  <c r="AA60" i="1" a="1"/>
  <c r="AA60" i="1" s="1"/>
  <c r="L50" i="1"/>
  <c r="AA50" i="1" a="1"/>
  <c r="AA50" i="1" s="1"/>
  <c r="Z50" i="1" a="1"/>
  <c r="Z50" i="1" s="1"/>
  <c r="Y50" i="1" a="1"/>
  <c r="Y50" i="1" s="1"/>
  <c r="L26" i="1"/>
  <c r="AA26" i="1" a="1"/>
  <c r="AA26" i="1" s="1"/>
  <c r="Z26" i="1" a="1"/>
  <c r="Z26" i="1" s="1"/>
  <c r="Y26" i="1" a="1"/>
  <c r="Y26" i="1" s="1"/>
  <c r="L44" i="1"/>
  <c r="Y44" i="1" a="1"/>
  <c r="Y44" i="1" s="1"/>
  <c r="AA44" i="1" a="1"/>
  <c r="AA44" i="1" s="1"/>
  <c r="Z44" i="1" a="1"/>
  <c r="Z44" i="1" s="1"/>
  <c r="L46" i="1"/>
  <c r="AA46" i="1" a="1"/>
  <c r="AA46" i="1" s="1"/>
  <c r="Y46" i="1" a="1"/>
  <c r="Y46" i="1" s="1"/>
  <c r="Z46" i="1" a="1"/>
  <c r="Z46" i="1" s="1"/>
  <c r="L64" i="1"/>
  <c r="AA64" i="1" a="1"/>
  <c r="AA64" i="1" s="1"/>
  <c r="Y64" i="1" a="1"/>
  <c r="Y64" i="1" s="1"/>
  <c r="Z64" i="1" a="1"/>
  <c r="Z64" i="1" s="1"/>
  <c r="L59" i="1"/>
  <c r="AA59" i="1" a="1"/>
  <c r="AA59" i="1" s="1"/>
  <c r="Z59" i="1" a="1"/>
  <c r="Z59" i="1" s="1"/>
  <c r="Y59" i="1" a="1"/>
  <c r="Y59" i="1" s="1"/>
  <c r="L41" i="1"/>
  <c r="Y41" i="1" a="1"/>
  <c r="Y41" i="1" s="1"/>
  <c r="AA41" i="1" a="1"/>
  <c r="AA41" i="1" s="1"/>
  <c r="Z41" i="1" a="1"/>
  <c r="Z41" i="1" s="1"/>
  <c r="L45" i="1"/>
  <c r="Z45" i="1" a="1"/>
  <c r="Z45" i="1" s="1"/>
  <c r="AA45" i="1" a="1"/>
  <c r="AA45" i="1" s="1"/>
  <c r="Y45" i="1" a="1"/>
  <c r="Y45" i="1" s="1"/>
  <c r="L40" i="1"/>
  <c r="Z40" i="1" a="1"/>
  <c r="Z40" i="1" s="1"/>
  <c r="Y40" i="1" a="1"/>
  <c r="Y40" i="1" s="1"/>
  <c r="AA40" i="1" a="1"/>
  <c r="AA40" i="1" s="1"/>
  <c r="L61" i="1"/>
  <c r="Z61" i="1" a="1"/>
  <c r="Z61" i="1" s="1"/>
  <c r="AA61" i="1" a="1"/>
  <c r="AA61" i="1" s="1"/>
  <c r="Y61" i="1" a="1"/>
  <c r="Y61" i="1" s="1"/>
  <c r="L53" i="1"/>
  <c r="Y53" i="1" a="1"/>
  <c r="Y53" i="1" s="1"/>
  <c r="Z53" i="1" a="1"/>
  <c r="Z53" i="1" s="1"/>
  <c r="AA53" i="1" a="1"/>
  <c r="AA53" i="1" s="1"/>
  <c r="L43" i="1"/>
  <c r="AA43" i="1" a="1"/>
  <c r="AA43" i="1" s="1"/>
  <c r="Z43" i="1" a="1"/>
  <c r="Z43" i="1" s="1"/>
  <c r="Y43" i="1" a="1"/>
  <c r="Y43" i="1" s="1"/>
  <c r="L36" i="1"/>
  <c r="Y36" i="1" a="1"/>
  <c r="Y36" i="1" s="1"/>
  <c r="AA36" i="1" a="1"/>
  <c r="AA36" i="1" s="1"/>
  <c r="Z36" i="1" a="1"/>
  <c r="Z36" i="1" s="1"/>
  <c r="L35" i="1"/>
  <c r="AA35" i="1" a="1"/>
  <c r="AA35" i="1" s="1"/>
  <c r="Y35" i="1" a="1"/>
  <c r="Y35" i="1" s="1"/>
  <c r="Z35" i="1" a="1"/>
  <c r="Z35" i="1" s="1"/>
  <c r="L27" i="1"/>
  <c r="Y27" i="1" a="1"/>
  <c r="Y27" i="1" s="1"/>
  <c r="AA27" i="1" a="1"/>
  <c r="AA27" i="1" s="1"/>
  <c r="Z27" i="1" a="1"/>
  <c r="Z27" i="1" s="1"/>
  <c r="L23" i="1"/>
  <c r="Y23" i="1" a="1"/>
  <c r="Y23" i="1" s="1"/>
  <c r="Z23" i="1" a="1"/>
  <c r="Z23" i="1" s="1"/>
  <c r="AA23" i="1" a="1"/>
  <c r="AA23" i="1" s="1"/>
  <c r="AB23" i="1" a="1"/>
  <c r="AB23" i="1" s="1"/>
  <c r="H21" i="1"/>
  <c r="J43" i="1" l="1" a="1"/>
  <c r="J43" i="1" s="1"/>
  <c r="J61" i="1" a="1"/>
  <c r="J61" i="1" s="1"/>
  <c r="J45" i="1" a="1"/>
  <c r="J45" i="1" s="1"/>
  <c r="J59" i="1" a="1"/>
  <c r="J59" i="1" s="1"/>
  <c r="J26" i="1" a="1"/>
  <c r="J26" i="1" s="1"/>
  <c r="J50" i="1" a="1"/>
  <c r="J50" i="1" s="1"/>
  <c r="J32" i="1" a="1"/>
  <c r="J32" i="1" s="1"/>
  <c r="J48" i="1" a="1"/>
  <c r="J48" i="1" s="1"/>
  <c r="J37" i="1" a="1"/>
  <c r="J37" i="1" s="1"/>
  <c r="J55" i="1" a="1"/>
  <c r="J55" i="1" s="1"/>
  <c r="J29" i="1" a="1"/>
  <c r="J29" i="1" s="1"/>
  <c r="J65" i="1" a="1"/>
  <c r="J65" i="1" s="1"/>
  <c r="J34" i="1" a="1"/>
  <c r="J34" i="1" s="1"/>
  <c r="J42" i="1" a="1"/>
  <c r="J42" i="1" s="1"/>
  <c r="J36" i="1" a="1"/>
  <c r="J36" i="1" s="1"/>
  <c r="J35" i="1" a="1"/>
  <c r="J35" i="1" s="1"/>
  <c r="J47" i="1" a="1"/>
  <c r="J47" i="1" s="1"/>
  <c r="J56" i="1" a="1"/>
  <c r="J56" i="1" s="1"/>
  <c r="J31" i="1" a="1"/>
  <c r="J31" i="1" s="1"/>
  <c r="J46" i="1" a="1"/>
  <c r="J46" i="1" s="1"/>
  <c r="J54" i="1" a="1"/>
  <c r="J54" i="1" s="1"/>
  <c r="J57" i="1" a="1"/>
  <c r="J57" i="1" s="1"/>
  <c r="J60" i="1" a="1"/>
  <c r="J60" i="1" s="1"/>
  <c r="J39" i="1" a="1"/>
  <c r="J39" i="1" s="1"/>
  <c r="J49" i="1" a="1"/>
  <c r="J49" i="1" s="1"/>
  <c r="J33" i="1" a="1"/>
  <c r="J33" i="1" s="1"/>
  <c r="J38" i="1" a="1"/>
  <c r="J38" i="1" s="1"/>
  <c r="J25" i="1" a="1"/>
  <c r="J25" i="1" s="1"/>
  <c r="J40" i="1" a="1"/>
  <c r="J40" i="1" s="1"/>
  <c r="J64" i="1" a="1"/>
  <c r="J64" i="1" s="1"/>
  <c r="J62" i="1" a="1"/>
  <c r="J62" i="1" s="1"/>
  <c r="J27" i="1" a="1"/>
  <c r="J27" i="1" s="1"/>
  <c r="J41" i="1" a="1"/>
  <c r="J41" i="1" s="1"/>
  <c r="J63" i="1" a="1"/>
  <c r="J63" i="1" s="1"/>
  <c r="J30" i="1" a="1"/>
  <c r="J30" i="1" s="1"/>
  <c r="J51" i="1" a="1"/>
  <c r="J51" i="1" s="1"/>
  <c r="J52" i="1" a="1"/>
  <c r="J52" i="1" s="1"/>
  <c r="J53" i="1" a="1"/>
  <c r="J53" i="1" s="1"/>
  <c r="J44" i="1" a="1"/>
  <c r="J44" i="1" s="1"/>
  <c r="J58" i="1" a="1"/>
  <c r="J58" i="1" s="1"/>
  <c r="J28" i="1" a="1"/>
  <c r="J28" i="1" s="1"/>
  <c r="J23" i="1" a="1"/>
  <c r="J23" i="1" s="1"/>
  <c r="L21" i="1" l="1"/>
  <c r="E15" i="4" s="1"/>
  <c r="E2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tc={6EDE6644-28CA-4380-8D66-541E8BD7226B}</author>
    <author>tc={A7A9781F-8B9E-44C3-BBED-9270FFF55B72}</author>
    <author>Jacques Erasmus</author>
  </authors>
  <commentList>
    <comment ref="C13" authorId="0" shapeId="0" xr:uid="{6EDE6644-28CA-4380-8D66-541E8BD7226B}">
      <text>
        <t xml:space="preserve">[Threaded comment]
Your version of Excel allows you to read this threaded comment; however, any edits to it will get removed if the file is opened in a newer version of Excel. Learn more: https://go.microsoft.com/fwlink/?linkid=870924
Comment:
    The Business Requirement Specification document usually contains statements using business or plain English terminology. </t>
      </text>
    </comment>
    <comment ref="C15" authorId="1" shapeId="0" xr:uid="{A7A9781F-8B9E-44C3-BBED-9270FFF55B72}">
      <text>
        <t xml:space="preserve">[Threaded comment]
Your version of Excel allows you to read this threaded comment; however, any edits to it will get removed if the file is opened in a newer version of Excel. Learn more: https://go.microsoft.com/fwlink/?linkid=870924
Comment:
    The logical design document contains a Functional Decomposition Model which has translated the BRS statements into more usable functional statements for purposes of evaluation </t>
      </text>
    </comment>
    <comment ref="F18" authorId="2" shapeId="0" xr:uid="{D030DCB8-7869-417C-83CD-709C71EAA9D4}">
      <text>
        <r>
          <rPr>
            <b/>
            <sz val="9"/>
            <color indexed="81"/>
            <rFont val="Tahoma"/>
            <family val="2"/>
          </rPr>
          <t>Jacques Erasmus:</t>
        </r>
        <r>
          <rPr>
            <sz val="9"/>
            <color indexed="81"/>
            <rFont val="Tahoma"/>
            <family val="2"/>
          </rPr>
          <t xml:space="preserve">
This must be linked to the agreed associatedpercentage from the Scoring Summary sheet</t>
        </r>
      </text>
    </comment>
    <comment ref="B19" authorId="2" shapeId="0" xr:uid="{9D462F7C-8C21-4104-92BE-11224B824450}">
      <text>
        <r>
          <rPr>
            <b/>
            <sz val="9"/>
            <color indexed="81"/>
            <rFont val="Tahoma"/>
            <family val="2"/>
          </rPr>
          <t>Leon Jean Louis:</t>
        </r>
        <r>
          <rPr>
            <sz val="9"/>
            <color indexed="81"/>
            <rFont val="Tahoma"/>
            <family val="2"/>
          </rPr>
          <t xml:space="preserve">
1- In this column define and as far as possible quantify the business/functional requirements in a clear statement. 
2- The statement defines only ONE requirement that will be measured and the scoring guideline (column J) must align to this. </t>
        </r>
      </text>
    </comment>
    <comment ref="H19" authorId="2" shapeId="0" xr:uid="{F04559AF-06CB-404C-A8FA-E239DB3BD809}">
      <text>
        <r>
          <rPr>
            <b/>
            <sz val="9"/>
            <color indexed="81"/>
            <rFont val="Tahoma"/>
            <family val="2"/>
          </rPr>
          <t>Leon Jean-Louis:</t>
        </r>
        <r>
          <rPr>
            <sz val="9"/>
            <color indexed="81"/>
            <rFont val="Tahoma"/>
            <family val="2"/>
          </rPr>
          <t xml:space="preserve">
1- To adjust the question weight, change the priority description (column G)
2- The tab/category weight must only be adjusted on the scoring summary tab any changes to the weighting on the scoring summary tab will automatically update here.</t>
        </r>
      </text>
    </comment>
    <comment ref="M19" authorId="2" shapeId="0" xr:uid="{788F22BF-E414-4AFE-91A8-4E9EF56D7FCC}">
      <text>
        <r>
          <rPr>
            <b/>
            <sz val="9"/>
            <color indexed="81"/>
            <rFont val="Tahoma"/>
            <family val="2"/>
          </rPr>
          <t>Leon Jean-Louis:</t>
        </r>
        <r>
          <rPr>
            <sz val="9"/>
            <color indexed="81"/>
            <rFont val="Tahoma"/>
            <family val="2"/>
          </rPr>
          <t xml:space="preserve">
Evaluators must provide comments for every score given. The comments also assist evaluators to recall how they arrived at their score when asked at a later stage.</t>
        </r>
      </text>
    </comment>
    <comment ref="B20" authorId="2" shapeId="0" xr:uid="{286D35B0-5C6C-4361-BB29-EA88F386C03E}">
      <text>
        <r>
          <rPr>
            <b/>
            <sz val="9"/>
            <color indexed="81"/>
            <rFont val="Tahoma"/>
            <family val="2"/>
          </rPr>
          <t>Leon Jean-Louis:</t>
        </r>
        <r>
          <rPr>
            <sz val="9"/>
            <color indexed="81"/>
            <rFont val="Tahoma"/>
            <family val="2"/>
          </rPr>
          <t xml:space="preserve">
Note: The original statement from the BRS is not always specific enough to quantify scoring. Rather use the statements from the logical design/functional decomposition if it is available - its more technical &amp; specific to what is being evaluated. Where a logical design/functional decomposition is not available revise the BRS statements where applicable so they are specific to what will be evaluated.</t>
        </r>
      </text>
    </comment>
    <comment ref="C20" authorId="2" shapeId="0" xr:uid="{C39B3F16-C3B8-4F5E-976C-E321BDA8FDDB}">
      <text>
        <r>
          <rPr>
            <b/>
            <sz val="9"/>
            <color indexed="81"/>
            <rFont val="Tahoma"/>
            <family val="2"/>
          </rPr>
          <t>Leon Jean-Louis:</t>
        </r>
        <r>
          <rPr>
            <sz val="9"/>
            <color indexed="81"/>
            <rFont val="Tahoma"/>
            <family val="2"/>
          </rPr>
          <t xml:space="preserve">
Its good practice to ask a vendor to provide evidence for their answer but this is not mandatory.
NOTE: When evidence is requested, and a vendor does not provide the required evidence in their response, a TET member may not award points for that response.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Jacques Erasmus</author>
  </authors>
  <commentList>
    <comment ref="C13" authorId="0" shapeId="0" xr:uid="{8559CFC2-EEFD-4762-B12B-00BBDF626F7C}">
      <text>
        <r>
          <rPr>
            <b/>
            <sz val="9"/>
            <color indexed="81"/>
            <rFont val="Tahoma"/>
            <family val="2"/>
          </rPr>
          <t>Jacques Erasmus:</t>
        </r>
        <r>
          <rPr>
            <sz val="9"/>
            <color indexed="81"/>
            <rFont val="Tahoma"/>
            <family val="2"/>
          </rPr>
          <t xml:space="preserve">
This is the MASTER Weight list. It must only be updated here. All other weights must refer to this one. This one must be decided FIRST.</t>
        </r>
      </text>
    </comment>
    <comment ref="D13" authorId="0" shapeId="0" xr:uid="{185A7574-67FD-4B53-8C19-1666ED4DD1A8}">
      <text>
        <r>
          <rPr>
            <b/>
            <sz val="9"/>
            <color indexed="81"/>
            <rFont val="Tahoma"/>
            <family val="2"/>
          </rPr>
          <t>Jacques Erasmus:</t>
        </r>
        <r>
          <rPr>
            <sz val="9"/>
            <color indexed="81"/>
            <rFont val="Tahoma"/>
            <family val="2"/>
          </rPr>
          <t xml:space="preserve">
Acceptable ratio of Score to Weight.
Insert as a percentage.</t>
        </r>
      </text>
    </comment>
    <comment ref="E13" authorId="0" shapeId="0" xr:uid="{D5EFC4A5-C7B2-48FD-8C57-1B71072A1517}">
      <text>
        <r>
          <rPr>
            <b/>
            <sz val="9"/>
            <color indexed="81"/>
            <rFont val="Tahoma"/>
            <family val="2"/>
          </rPr>
          <t>Jacques Erasmus:</t>
        </r>
        <r>
          <rPr>
            <sz val="9"/>
            <color indexed="81"/>
            <rFont val="Tahoma"/>
            <family val="2"/>
          </rPr>
          <t xml:space="preserve">
Condition shading when threshold not provided or threshold not met.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Jacques Erasmus</author>
  </authors>
  <commentList>
    <comment ref="G13" authorId="0" shapeId="0" xr:uid="{0E0A9425-CC79-4123-A478-ACDF3FFB89A6}">
      <text>
        <r>
          <rPr>
            <b/>
            <sz val="9"/>
            <color indexed="81"/>
            <rFont val="Tahoma"/>
            <family val="2"/>
          </rPr>
          <t>Jacques Erasmus:</t>
        </r>
        <r>
          <rPr>
            <sz val="9"/>
            <color indexed="81"/>
            <rFont val="Tahoma"/>
            <family val="2"/>
          </rPr>
          <t xml:space="preserve">
Options must be comma-separated and arrange from best to worst. No other commas allowed.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Jacques Erasmus</author>
  </authors>
  <commentList>
    <comment ref="F8" authorId="0" shapeId="0" xr:uid="{7A6D5A5C-47CD-4D7F-B825-81C378B982B7}">
      <text>
        <r>
          <rPr>
            <b/>
            <sz val="9"/>
            <color indexed="81"/>
            <rFont val="Tahoma"/>
            <family val="2"/>
          </rPr>
          <t>Jacques Erasmus:</t>
        </r>
        <r>
          <rPr>
            <sz val="9"/>
            <color indexed="81"/>
            <rFont val="Tahoma"/>
            <family val="2"/>
          </rPr>
          <t xml:space="preserve">
DO NOT DELETE</t>
        </r>
      </text>
    </comment>
    <comment ref="B9" authorId="0" shapeId="0" xr:uid="{5446D0B4-6330-405F-9207-6EE81791BDBA}">
      <text>
        <r>
          <rPr>
            <b/>
            <sz val="9"/>
            <color indexed="81"/>
            <rFont val="Tahoma"/>
            <family val="2"/>
          </rPr>
          <t>Jacques Erasmus:</t>
        </r>
        <r>
          <rPr>
            <sz val="9"/>
            <color indexed="81"/>
            <rFont val="Tahoma"/>
            <family val="2"/>
          </rPr>
          <t xml:space="preserve">
DELETE EMPTY ROWS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Jacques Erasmus</author>
  </authors>
  <commentList>
    <comment ref="I12" authorId="0" shapeId="0" xr:uid="{A894B8CA-1621-40EC-B166-F3A19E114097}">
      <text>
        <r>
          <rPr>
            <b/>
            <sz val="9"/>
            <color indexed="81"/>
            <rFont val="Tahoma"/>
            <family val="2"/>
          </rPr>
          <t>Jacques Erasmus:</t>
        </r>
        <r>
          <rPr>
            <sz val="9"/>
            <color indexed="81"/>
            <rFont val="Tahoma"/>
            <family val="2"/>
          </rPr>
          <t xml:space="preserve">
Options must be comma-separated and arrange from best to worst. No other commas allowed.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<sst xmlns="http://schemas.openxmlformats.org/spreadsheetml/2006/main" count="1806" uniqueCount="650">
  <si>
    <r>
      <t xml:space="preserve">This Tab provides guidance to the TET on how the evaluation criteria must be structured and where information can be sourced.
</t>
    </r>
    <r>
      <rPr>
        <b/>
        <u/>
        <sz val="12"/>
        <color rgb="FFFF0000"/>
        <rFont val="Arial"/>
        <family val="2"/>
      </rPr>
      <t>Delete this tab before the TEC is published with the RFP.</t>
    </r>
  </si>
  <si>
    <t>Response Guidelines</t>
  </si>
  <si>
    <t>Once all criteria questions are complete revise the response guidelines tab, the information provided is for vendors to understand what is required of them. 
You may need to rename or adjust the colour coding of the various tabs.
Read through all the information removing what is not applicable and adding important information you want vendors to be aware of.
The template has one reference sheet (Definitions and Abbreviations) it may be necessary to provide vendors with more reference information, which can be listed here.</t>
  </si>
  <si>
    <t>Scoring Summary</t>
  </si>
  <si>
    <t>Gatekeepers are captured here - Gatekeepers are limited to legislative and compliance related criteria only.
Desktop evaluations and demonstrations are separate evaluation stages and the scores may not be added together.
Ensure each stage has a defined threshold
Adjusting the weight for each category on the scoring summary tab will automatically reflect the changes on the respective sheets.
Evaluators scores in each category will also automatically pull through to this sheet
The EL must check the formulas to ensure all are working correctly before evaluations begin.</t>
  </si>
  <si>
    <t>Functional Tab</t>
  </si>
  <si>
    <r>
      <t xml:space="preserve">The functional evaluation specifically seeks to evaluate a given proposal/solution against the functional requirements which must listed in the scope of work. 
The functional requirements can be sourced from the Logical Architecture Design (LAD) where this is applicable. More specifically the Functional Decomposition Model </t>
    </r>
    <r>
      <rPr>
        <sz val="11"/>
        <color rgb="FFFF0000"/>
        <rFont val="Arial"/>
        <family val="2"/>
      </rPr>
      <t>contained within the LAD</t>
    </r>
    <r>
      <rPr>
        <sz val="11"/>
        <color theme="1"/>
        <rFont val="Arial"/>
        <family val="2"/>
      </rPr>
      <t>, lists all the Functional Requirements carefully aligned with industry best practice to ensure complete coverage of the business need. See below the example for the first evaluation criteria.</t>
    </r>
  </si>
  <si>
    <t>EXAMPLE for #1</t>
  </si>
  <si>
    <t>Business Requirement Specification Statement (from the BRS)</t>
  </si>
  <si>
    <t>"The displayed image needs to be flicker free"</t>
  </si>
  <si>
    <t>These statements are developed by a business analyst while engaging with the business in their own language.</t>
  </si>
  <si>
    <t>Functional Business Requirement (from the Logical Design/Functional Decomposition Model)</t>
  </si>
  <si>
    <t>The screen refresh rate should be 60 fps or higher</t>
  </si>
  <si>
    <t>These statements are developed by an architect, which is based on the BRS &amp; designed to be purely functional with a view to use for evaluation, mapping &amp; other analyses.</t>
  </si>
  <si>
    <t>Technical Requirements</t>
  </si>
  <si>
    <t>Vendor Responses</t>
  </si>
  <si>
    <t>Evaluator Scores</t>
  </si>
  <si>
    <t>Sectional Score:</t>
  </si>
  <si>
    <t>Intem#</t>
  </si>
  <si>
    <t xml:space="preserve">Business requirements </t>
  </si>
  <si>
    <r>
      <t xml:space="preserve">Mandatory Returnables - </t>
    </r>
    <r>
      <rPr>
        <sz val="9"/>
        <rFont val="Arial"/>
        <family val="2"/>
      </rPr>
      <t>This colunm lists the mandotory evidence to be provided by the vendor in the technical file and numbered to align with each criteria question.</t>
    </r>
    <r>
      <rPr>
        <b/>
        <sz val="9"/>
        <rFont val="Arial"/>
        <family val="2"/>
      </rPr>
      <t xml:space="preserve"> </t>
    </r>
  </si>
  <si>
    <r>
      <t xml:space="preserve">Vendor Response: </t>
    </r>
    <r>
      <rPr>
        <sz val="9"/>
        <rFont val="Arial"/>
        <family val="2"/>
      </rPr>
      <t>Vendor to indicate if, and to what extent they meet the requirement, detail must be provided in the tender submission</t>
    </r>
  </si>
  <si>
    <r>
      <t xml:space="preserve">Vendor Evidence: </t>
    </r>
    <r>
      <rPr>
        <sz val="9"/>
        <rFont val="Arial"/>
        <family val="2"/>
      </rPr>
      <t>Location of Supporting Document/detailed response in your tender submission (state the file number, section &amp; page number)</t>
    </r>
  </si>
  <si>
    <t>Priority Description</t>
  </si>
  <si>
    <t>Priority</t>
  </si>
  <si>
    <t>Weight</t>
  </si>
  <si>
    <t>Selection Option</t>
  </si>
  <si>
    <t>Option Score</t>
  </si>
  <si>
    <t>Evaluators Response (SELECT)</t>
  </si>
  <si>
    <t>Score</t>
  </si>
  <si>
    <t>Evaluator comments</t>
  </si>
  <si>
    <t>1</t>
  </si>
  <si>
    <t>2</t>
  </si>
  <si>
    <t>3</t>
  </si>
  <si>
    <t>4</t>
  </si>
  <si>
    <t>5</t>
  </si>
  <si>
    <t>6</t>
  </si>
  <si>
    <t>7</t>
  </si>
  <si>
    <t>8</t>
  </si>
  <si>
    <t>9</t>
  </si>
  <si>
    <t>10</t>
  </si>
  <si>
    <t>11</t>
  </si>
  <si>
    <t>12</t>
  </si>
  <si>
    <t>13</t>
  </si>
  <si>
    <t>14</t>
  </si>
  <si>
    <t>15</t>
  </si>
  <si>
    <t>16</t>
  </si>
  <si>
    <t>17</t>
  </si>
  <si>
    <t>18</t>
  </si>
  <si>
    <t>19</t>
  </si>
  <si>
    <t>20</t>
  </si>
  <si>
    <t>21</t>
  </si>
  <si>
    <t>22</t>
  </si>
  <si>
    <t>Eskom requires an application with a screen refresh rate of 60 fps or higher.
(This is the actual evaluation criteria against which the response is being judged - in this example it specifically quantifies how to determine if the screen will be flicker free &amp; smooth i.e. the lower the refresh rate of the screen the worse screen flicker will be evident to the end-user)</t>
  </si>
  <si>
    <t>In your technical response indicate the screen refresh rate and provide a technical specification as evidence of the refresh rate. Note this may also be requested to be physically demonstrated later in the RFP process.</t>
  </si>
  <si>
    <t>&lt;Example for how to complete this column: Technical File, section 5 (company background section), page 11&gt;</t>
  </si>
  <si>
    <t>Important</t>
  </si>
  <si>
    <t>Refresh rate &gt;=60,
Refresh rate &lt;60</t>
  </si>
  <si>
    <t>Refresh rate &gt;=60</t>
  </si>
  <si>
    <t>Appendix G</t>
  </si>
  <si>
    <t>Show stopper</t>
  </si>
  <si>
    <t>abc,
klm,
pqr,
xyz</t>
  </si>
  <si>
    <t xml:space="preserve">
pqr</t>
  </si>
  <si>
    <t>Demonstration tab</t>
  </si>
  <si>
    <t xml:space="preserve">The demonstration tab has important notes to vendors in rows 10 to 13, read these and edit as required by your criteria and evaluation plan. After editing, there must not be any blue text remaining.
If a requirement was evaluated during the desktop evaluation, it may be evaluated again at the demo if there is a need to see/verify the information. 
The demonstration duration agreed to must be strictly adhered to for all vendors for fairness. </t>
  </si>
  <si>
    <t>Tenderer to take note of the following key instructions:</t>
  </si>
  <si>
    <t>Technical Evaluation Guidelines</t>
  </si>
  <si>
    <t>*</t>
  </si>
  <si>
    <r>
      <t xml:space="preserve">Complete </t>
    </r>
    <r>
      <rPr>
        <b/>
        <u/>
        <sz val="11"/>
        <color rgb="FFC00000"/>
        <rFont val="Arial"/>
        <family val="2"/>
      </rPr>
      <t>ALL</t>
    </r>
    <r>
      <rPr>
        <sz val="11"/>
        <color rgb="FF000000"/>
        <rFont val="Arial"/>
        <family val="2"/>
      </rPr>
      <t xml:space="preserve"> </t>
    </r>
    <r>
      <rPr>
        <sz val="11"/>
        <color indexed="8"/>
        <rFont val="Arial"/>
        <family val="2"/>
      </rPr>
      <t>the worksheets listed below.</t>
    </r>
  </si>
  <si>
    <t>Scoring Summary (Gatekeeper questions)</t>
  </si>
  <si>
    <t>Gatekeepers</t>
  </si>
  <si>
    <t>Key Requirements</t>
  </si>
  <si>
    <t>Functional</t>
  </si>
  <si>
    <t>Non-Functional</t>
  </si>
  <si>
    <t>Integration</t>
  </si>
  <si>
    <t>Testing</t>
  </si>
  <si>
    <t>Security</t>
  </si>
  <si>
    <t>Demonstration</t>
  </si>
  <si>
    <t xml:space="preserve"> </t>
  </si>
  <si>
    <t>Reference Information</t>
  </si>
  <si>
    <t xml:space="preserve">Definitions and Abbreviations
</t>
  </si>
  <si>
    <t>Provides information on the definitions and abbreviations used in the Evaluation workbook.</t>
  </si>
  <si>
    <t>Tender Number:</t>
  </si>
  <si>
    <t>&lt;insert before tender publication&gt;</t>
  </si>
  <si>
    <t>Transaction Description:</t>
  </si>
  <si>
    <t>Assurance Data Analytics</t>
  </si>
  <si>
    <t>Evaluated Tenderer's Registered Name:</t>
  </si>
  <si>
    <t>&lt;Evaluator to complete&gt;</t>
  </si>
  <si>
    <t>Evaluator Name and Surname:</t>
  </si>
  <si>
    <t>Eskom Group Technology:  Technical Evaluation Criteria</t>
  </si>
  <si>
    <t>Date of Evaluation</t>
  </si>
  <si>
    <t>Evaluator Signature</t>
  </si>
  <si>
    <r>
      <t xml:space="preserve">Ver 7.x </t>
    </r>
    <r>
      <rPr>
        <b/>
        <u/>
        <sz val="12"/>
        <color rgb="FFC00000"/>
        <rFont val="Arial"/>
        <family val="2"/>
      </rPr>
      <t>(DRAFT)</t>
    </r>
  </si>
  <si>
    <t>Gatekeeper Evaluation</t>
  </si>
  <si>
    <t>Tick to indicate if there are gatekeepers for this assessment:</t>
  </si>
  <si>
    <t>Desktop Evaluation Scoring Summary</t>
  </si>
  <si>
    <t>Evaluation Category</t>
  </si>
  <si>
    <t>Threshold</t>
  </si>
  <si>
    <t>Cloud</t>
  </si>
  <si>
    <t xml:space="preserve">Total </t>
  </si>
  <si>
    <t>Demonstration Scoring Summary</t>
  </si>
  <si>
    <t>Eskom Group Technology: 
Technical Evaluation Criteria</t>
  </si>
  <si>
    <t>Item#</t>
  </si>
  <si>
    <r>
      <t xml:space="preserve">Mandatory Returnables - </t>
    </r>
    <r>
      <rPr>
        <sz val="9"/>
        <rFont val="Arial"/>
        <family val="2"/>
      </rPr>
      <t>This column lists the mandatory evidence to be provided by the vendor in the technical file and numbered to align with each criteria question.</t>
    </r>
    <r>
      <rPr>
        <b/>
        <sz val="9"/>
        <rFont val="Arial"/>
        <family val="2"/>
      </rPr>
      <t xml:space="preserve"> </t>
    </r>
  </si>
  <si>
    <t>Tenderer must have prior or past experience in implementation of Assurance Data Analytics software and solutions.</t>
  </si>
  <si>
    <t>Evidence required: In your response provide a letter/certificate with a company letter head as evidence confirming this from at least two of your clients where the solution was implemented. The letters must have a contact person &amp; contact details.</t>
  </si>
  <si>
    <t>Critical</t>
  </si>
  <si>
    <t>1. Fully compliant,
2. Not compliant</t>
  </si>
  <si>
    <t>1. Fully compliant</t>
  </si>
  <si>
    <t xml:space="preserve">Tenderer to prove that their proposed solution is a cloud native enterprise level product, which can be implemented as a Private Cloud or Secure SaaS in a Data Centre within the Borders of South Africa (alternatively in Europe) and able to service internal Eskom Employees. 
</t>
  </si>
  <si>
    <t>Evidence required: 
1)  In your response provide a letter/certificate as evidence confirming this from at least two of your clients where the solution was implemented. The letters must have a contact person &amp; contact details.
2) Provide a letter,  from the Cloud Service Provider(s) confirming that the Assurance Data Analytics Solution and its sensitive Data (including backups, archiving, replication) will be confined to Data Centres within the Borders of South Africa (alternatively in Europe).</t>
  </si>
  <si>
    <t>Tenderer must have local South African based Resources, with proven experience, to Support the Solution and software licenses</t>
  </si>
  <si>
    <t>Provide a letter,  from the Maintenance and Support Service Provider confirming that the Assurance Data Analytics Solution, its Integration and its Data will be supported by local Resources.</t>
  </si>
  <si>
    <t>Eskom Group Technology:
 Technical Evaluation Criteria</t>
  </si>
  <si>
    <t>Selection Options</t>
  </si>
  <si>
    <t>Functional 1</t>
  </si>
  <si>
    <r>
      <rPr>
        <b/>
        <u/>
        <sz val="9"/>
        <color theme="1"/>
        <rFont val="Arial"/>
        <family val="2"/>
      </rPr>
      <t>Flexible Data Sourcing</t>
    </r>
    <r>
      <rPr>
        <sz val="9"/>
        <color theme="1"/>
        <rFont val="Arial"/>
        <family val="2"/>
      </rPr>
      <t xml:space="preserve">
•</t>
    </r>
    <r>
      <rPr>
        <b/>
        <sz val="9"/>
        <color theme="1"/>
        <rFont val="Arial"/>
        <family val="2"/>
      </rPr>
      <t xml:space="preserve"> Multi-Source Imports</t>
    </r>
    <r>
      <rPr>
        <sz val="9"/>
        <color theme="1"/>
        <rFont val="Arial"/>
        <family val="2"/>
      </rPr>
      <t>: Ability to import data from diverse file types (CSV, Excel, Dbase, XML, TXT etc).</t>
    </r>
  </si>
  <si>
    <t>Demonstrate that the solution has the ability to import data from diverse file types (CSV, Excel, Dbase, XML, TXT etc)</t>
  </si>
  <si>
    <t>1. Extensive functionality available, 
2. Limited functionality available,
3. Functionality not available</t>
  </si>
  <si>
    <t>1. Extensive functionality available</t>
  </si>
  <si>
    <t>Functional 2</t>
  </si>
  <si>
    <r>
      <rPr>
        <b/>
        <u/>
        <sz val="9"/>
        <color theme="1"/>
        <rFont val="Arial"/>
        <family val="2"/>
      </rPr>
      <t>Flexible Data Sourcing</t>
    </r>
    <r>
      <rPr>
        <sz val="9"/>
        <color theme="1"/>
        <rFont val="Arial"/>
        <family val="2"/>
      </rPr>
      <t xml:space="preserve">
• </t>
    </r>
    <r>
      <rPr>
        <b/>
        <sz val="9"/>
        <color theme="1"/>
        <rFont val="Arial"/>
        <family val="2"/>
      </rPr>
      <t>Multi-Source Connectivity</t>
    </r>
    <r>
      <rPr>
        <sz val="9"/>
        <color theme="1"/>
        <rFont val="Arial"/>
        <family val="2"/>
      </rPr>
      <t xml:space="preserve">: Securely connect and integrate with ERP systems (such as SAP, Oracle, and Microsoft Dynamics), relational databases (including SQL Server, PostgreSQL, and MySQL), and cloud storage platforms (like Azure Blob, AWS S3, and Google Cloud Storage). </t>
    </r>
  </si>
  <si>
    <t>Demonstrate that the solution has the ability to securely connect and integrate with ERP systems (such as SAP, Oracle, and Microsoft Dynamics), relational databases (including SQL Server, PostgreSQL, and MySQL), and cloud storage platforms (like Azure Blob, AWS S3, and Google Cloud Storage)</t>
  </si>
  <si>
    <t>Functional 3</t>
  </si>
  <si>
    <r>
      <rPr>
        <b/>
        <u/>
        <sz val="9"/>
        <color theme="1"/>
        <rFont val="Arial"/>
        <family val="2"/>
      </rPr>
      <t>Flexible Data Sourcing</t>
    </r>
    <r>
      <rPr>
        <sz val="9"/>
        <color theme="1"/>
        <rFont val="Arial"/>
        <family val="2"/>
      </rPr>
      <t xml:space="preserve">
• </t>
    </r>
    <r>
      <rPr>
        <b/>
        <sz val="9"/>
        <color theme="1"/>
        <rFont val="Arial"/>
        <family val="2"/>
      </rPr>
      <t>Custom Templates</t>
    </r>
    <r>
      <rPr>
        <sz val="9"/>
        <color theme="1"/>
        <rFont val="Arial"/>
        <family val="2"/>
      </rPr>
      <t>: Support for creating templates for files without fixed structures.</t>
    </r>
  </si>
  <si>
    <t>Demonstrate that the solution has the ability to create templates for files without fixed structures</t>
  </si>
  <si>
    <t>Functional 4</t>
  </si>
  <si>
    <r>
      <rPr>
        <b/>
        <u/>
        <sz val="9"/>
        <color theme="1"/>
        <rFont val="Arial"/>
        <family val="2"/>
      </rPr>
      <t>Flexible Data Sourcing</t>
    </r>
    <r>
      <rPr>
        <sz val="9"/>
        <color theme="1"/>
        <rFont val="Arial"/>
        <family val="2"/>
      </rPr>
      <t xml:space="preserve">
• </t>
    </r>
    <r>
      <rPr>
        <b/>
        <sz val="9"/>
        <color theme="1"/>
        <rFont val="Arial"/>
        <family val="2"/>
      </rPr>
      <t>Dynamic Field Addition</t>
    </r>
    <r>
      <rPr>
        <sz val="9"/>
        <color theme="1"/>
        <rFont val="Arial"/>
        <family val="2"/>
      </rPr>
      <t>: Ability to add and create additional fields during import.</t>
    </r>
  </si>
  <si>
    <t>Demonstrate that the solution has the ability to add and create additional fields during import</t>
  </si>
  <si>
    <t>Functional 5</t>
  </si>
  <si>
    <r>
      <rPr>
        <b/>
        <u/>
        <sz val="9"/>
        <color theme="1"/>
        <rFont val="Arial"/>
        <family val="2"/>
      </rPr>
      <t>Flexible Data Sourcing</t>
    </r>
    <r>
      <rPr>
        <sz val="9"/>
        <color theme="1"/>
        <rFont val="Arial"/>
        <family val="2"/>
      </rPr>
      <t xml:space="preserve">
•</t>
    </r>
    <r>
      <rPr>
        <b/>
        <sz val="9"/>
        <color theme="1"/>
        <rFont val="Arial"/>
        <family val="2"/>
      </rPr>
      <t xml:space="preserve"> API Integration</t>
    </r>
    <r>
      <rPr>
        <sz val="9"/>
        <color theme="1"/>
        <rFont val="Arial"/>
        <family val="2"/>
      </rPr>
      <t xml:space="preserve">: Secure API connectors for real-time data ingestion.  </t>
    </r>
  </si>
  <si>
    <t>Demonstrate that the solution has the ability to do real-time data ingestion using Secure API connectors</t>
  </si>
  <si>
    <t>Functional 6</t>
  </si>
  <si>
    <r>
      <rPr>
        <b/>
        <u/>
        <sz val="9"/>
        <color theme="1"/>
        <rFont val="Arial"/>
        <family val="2"/>
      </rPr>
      <t>Flexible Data Sourcing</t>
    </r>
    <r>
      <rPr>
        <sz val="9"/>
        <color theme="1"/>
        <rFont val="Arial"/>
        <family val="2"/>
      </rPr>
      <t xml:space="preserve">
• </t>
    </r>
    <r>
      <rPr>
        <b/>
        <sz val="9"/>
        <color theme="1"/>
        <rFont val="Arial"/>
        <family val="2"/>
      </rPr>
      <t>Script Conversion</t>
    </r>
    <r>
      <rPr>
        <sz val="9"/>
        <color theme="1"/>
        <rFont val="Arial"/>
        <family val="2"/>
      </rPr>
      <t>: must support converting existing scripts (e.g., IDEAScript) into its own script format.</t>
    </r>
  </si>
  <si>
    <t>Demonstrate that the solution has the ability to convert existing scripts (e.g., IDEAScript) into its own script format</t>
  </si>
  <si>
    <t>Functional 7</t>
  </si>
  <si>
    <r>
      <rPr>
        <b/>
        <u/>
        <sz val="9"/>
        <color theme="1"/>
        <rFont val="Arial"/>
        <family val="2"/>
      </rPr>
      <t xml:space="preserve"> Advanced Data Manipulation 
</t>
    </r>
    <r>
      <rPr>
        <sz val="9"/>
        <color theme="1"/>
        <rFont val="Arial"/>
        <family val="2"/>
      </rPr>
      <t xml:space="preserve">
• </t>
    </r>
    <r>
      <rPr>
        <b/>
        <sz val="9"/>
        <color theme="1"/>
        <rFont val="Arial"/>
        <family val="2"/>
      </rPr>
      <t xml:space="preserve">Virtual &amp; Editable Fields: </t>
    </r>
    <r>
      <rPr>
        <sz val="9"/>
        <color theme="1"/>
        <rFont val="Arial"/>
        <family val="2"/>
      </rPr>
      <t xml:space="preserve">Add calculated or editable fields to existing datasets. </t>
    </r>
  </si>
  <si>
    <t>Demonstrate that the solution has the ability to add calculated or editable fields to existing datasets</t>
  </si>
  <si>
    <t>Functional 8</t>
  </si>
  <si>
    <r>
      <rPr>
        <b/>
        <u/>
        <sz val="9"/>
        <color theme="1"/>
        <rFont val="Arial"/>
        <family val="2"/>
      </rPr>
      <t xml:space="preserve"> Advanced Data Manipulation 
</t>
    </r>
    <r>
      <rPr>
        <sz val="9"/>
        <color theme="1"/>
        <rFont val="Arial"/>
        <family val="2"/>
      </rPr>
      <t xml:space="preserve">
• </t>
    </r>
    <r>
      <rPr>
        <b/>
        <sz val="9"/>
        <color theme="1"/>
        <rFont val="Arial"/>
        <family val="2"/>
      </rPr>
      <t xml:space="preserve">Custom Views &amp; Reports: </t>
    </r>
    <r>
      <rPr>
        <sz val="9"/>
        <color theme="1"/>
        <rFont val="Arial"/>
        <family val="2"/>
      </rPr>
      <t xml:space="preserve">Create tailored views and export reports in multiple formats. </t>
    </r>
  </si>
  <si>
    <t>Demonstrate that the solution has the ability to create tailored views and export reports in multiple formats</t>
  </si>
  <si>
    <t>Functional 9</t>
  </si>
  <si>
    <r>
      <rPr>
        <b/>
        <u/>
        <sz val="9"/>
        <color theme="1"/>
        <rFont val="Arial"/>
        <family val="2"/>
      </rPr>
      <t xml:space="preserve"> Advanced Data Manipulation 
</t>
    </r>
    <r>
      <rPr>
        <sz val="9"/>
        <color theme="1"/>
        <rFont val="Arial"/>
        <family val="2"/>
      </rPr>
      <t xml:space="preserve">
</t>
    </r>
    <r>
      <rPr>
        <b/>
        <sz val="9"/>
        <color theme="1"/>
        <rFont val="Arial"/>
        <family val="2"/>
      </rPr>
      <t xml:space="preserve">• Data Matching &amp; Comparison: </t>
    </r>
    <r>
      <rPr>
        <sz val="9"/>
        <color theme="1"/>
        <rFont val="Arial"/>
        <family val="2"/>
      </rPr>
      <t xml:space="preserve">Join, append, compare datasets with visual relationship mapping. </t>
    </r>
  </si>
  <si>
    <t>Demonstrate that the solution has the ability to join, append, compare datasets with visual relationship mapping</t>
  </si>
  <si>
    <t>Functional 10</t>
  </si>
  <si>
    <r>
      <rPr>
        <b/>
        <u/>
        <sz val="9"/>
        <color theme="1"/>
        <rFont val="Arial"/>
        <family val="2"/>
      </rPr>
      <t xml:space="preserve"> Advanced Data Manipulation 
</t>
    </r>
    <r>
      <rPr>
        <sz val="9"/>
        <color theme="1"/>
        <rFont val="Arial"/>
        <family val="2"/>
      </rPr>
      <t xml:space="preserve">
• </t>
    </r>
    <r>
      <rPr>
        <b/>
        <sz val="9"/>
        <color theme="1"/>
        <rFont val="Arial"/>
        <family val="2"/>
      </rPr>
      <t xml:space="preserve">Data Cleansing: </t>
    </r>
    <r>
      <rPr>
        <sz val="9"/>
        <color theme="1"/>
        <rFont val="Arial"/>
        <family val="2"/>
      </rPr>
      <t xml:space="preserve">Handle missing values, outliers, normalization. </t>
    </r>
  </si>
  <si>
    <t>Demonstrate that the solution has the ability to handle missing values, outliers, normalization</t>
  </si>
  <si>
    <t>Functional 11</t>
  </si>
  <si>
    <r>
      <rPr>
        <b/>
        <u/>
        <sz val="9"/>
        <color theme="1"/>
        <rFont val="Arial"/>
        <family val="2"/>
      </rPr>
      <t xml:space="preserve"> Advanced Data Manipulation 
</t>
    </r>
    <r>
      <rPr>
        <sz val="9"/>
        <color theme="1"/>
        <rFont val="Arial"/>
        <family val="2"/>
      </rPr>
      <t xml:space="preserve">
• </t>
    </r>
    <r>
      <rPr>
        <b/>
        <sz val="9"/>
        <color theme="1"/>
        <rFont val="Arial"/>
        <family val="2"/>
      </rPr>
      <t xml:space="preserve">Version Control: </t>
    </r>
    <r>
      <rPr>
        <sz val="9"/>
        <color theme="1"/>
        <rFont val="Arial"/>
        <family val="2"/>
      </rPr>
      <t xml:space="preserve">Maintain version history for imported / connected datasets. </t>
    </r>
  </si>
  <si>
    <t>Demonstrate that the solution has the ability to maintain version history for imported / connected datasets</t>
  </si>
  <si>
    <t>Functional 12</t>
  </si>
  <si>
    <r>
      <rPr>
        <b/>
        <u/>
        <sz val="9"/>
        <color theme="1"/>
        <rFont val="Arial"/>
        <family val="2"/>
      </rPr>
      <t xml:space="preserve">Data Analysis Capabilities </t>
    </r>
    <r>
      <rPr>
        <sz val="9"/>
        <color theme="1"/>
        <rFont val="Arial"/>
        <family val="2"/>
      </rPr>
      <t xml:space="preserve">
• </t>
    </r>
    <r>
      <rPr>
        <b/>
        <sz val="9"/>
        <color theme="1"/>
        <rFont val="Arial"/>
        <family val="2"/>
      </rPr>
      <t>Comprehensive Statistical Functions</t>
    </r>
    <r>
      <rPr>
        <sz val="9"/>
        <color theme="1"/>
        <rFont val="Arial"/>
        <family val="2"/>
      </rPr>
      <t>: Including descriptive and inferential analysis.</t>
    </r>
  </si>
  <si>
    <t>Demonstrate that the solution has the ability to perform Comprehensive Statistical Functions: Including descriptive and inferential analysis</t>
  </si>
  <si>
    <t>Functional 13</t>
  </si>
  <si>
    <r>
      <rPr>
        <b/>
        <u/>
        <sz val="9"/>
        <color theme="1"/>
        <rFont val="Arial"/>
        <family val="2"/>
      </rPr>
      <t xml:space="preserve">Data Analysis Capabilities </t>
    </r>
    <r>
      <rPr>
        <sz val="9"/>
        <color theme="1"/>
        <rFont val="Arial"/>
        <family val="2"/>
      </rPr>
      <t xml:space="preserve">
• </t>
    </r>
    <r>
      <rPr>
        <b/>
        <sz val="9"/>
        <color theme="1"/>
        <rFont val="Arial"/>
        <family val="2"/>
      </rPr>
      <t>Gap &amp; Duplicate Detection</t>
    </r>
    <r>
      <rPr>
        <sz val="9"/>
        <color theme="1"/>
        <rFont val="Arial"/>
        <family val="2"/>
      </rPr>
      <t>: Includes fuzzy matching.</t>
    </r>
  </si>
  <si>
    <t>Demonstrate that the solution has the ability to perform Gap &amp; Duplicate Detection: Includes fuzzy matching</t>
  </si>
  <si>
    <t>Functional 14</t>
  </si>
  <si>
    <r>
      <rPr>
        <b/>
        <u/>
        <sz val="9"/>
        <color theme="1"/>
        <rFont val="Arial"/>
        <family val="2"/>
      </rPr>
      <t xml:space="preserve">Data Analysis Capabilities </t>
    </r>
    <r>
      <rPr>
        <sz val="9"/>
        <color theme="1"/>
        <rFont val="Arial"/>
        <family val="2"/>
      </rPr>
      <t xml:space="preserve">
• </t>
    </r>
    <r>
      <rPr>
        <b/>
        <sz val="9"/>
        <color theme="1"/>
        <rFont val="Arial"/>
        <family val="2"/>
      </rPr>
      <t>Summarization &amp; Stratification</t>
    </r>
    <r>
      <rPr>
        <sz val="9"/>
        <color theme="1"/>
        <rFont val="Arial"/>
        <family val="2"/>
      </rPr>
      <t>: Grouping and aggregation.</t>
    </r>
  </si>
  <si>
    <t>Demonstrate that the solution has the ability to perform Summarization &amp; Stratification: Grouping and aggregation</t>
  </si>
  <si>
    <t>Functional 15</t>
  </si>
  <si>
    <r>
      <rPr>
        <b/>
        <u/>
        <sz val="9"/>
        <color theme="1"/>
        <rFont val="Arial"/>
        <family val="2"/>
      </rPr>
      <t xml:space="preserve">Data Analysis Capabilities </t>
    </r>
    <r>
      <rPr>
        <sz val="9"/>
        <color theme="1"/>
        <rFont val="Arial"/>
        <family val="2"/>
      </rPr>
      <t xml:space="preserve">
• </t>
    </r>
    <r>
      <rPr>
        <b/>
        <sz val="9"/>
        <color theme="1"/>
        <rFont val="Arial"/>
        <family val="2"/>
      </rPr>
      <t>Filtering &amp; Sorting</t>
    </r>
    <r>
      <rPr>
        <sz val="9"/>
        <color theme="1"/>
        <rFont val="Arial"/>
        <family val="2"/>
      </rPr>
      <t>: Advanced filtering options.</t>
    </r>
  </si>
  <si>
    <t>Demonstrate that the solution has the ability to perform Filtering &amp; Sorting: Advanced filtering options</t>
  </si>
  <si>
    <t>Functional 16</t>
  </si>
  <si>
    <r>
      <rPr>
        <b/>
        <u/>
        <sz val="9"/>
        <color theme="1"/>
        <rFont val="Arial"/>
        <family val="2"/>
      </rPr>
      <t xml:space="preserve">Data Analysis Capabilities </t>
    </r>
    <r>
      <rPr>
        <sz val="9"/>
        <color theme="1"/>
        <rFont val="Arial"/>
        <family val="2"/>
      </rPr>
      <t xml:space="preserve">
• </t>
    </r>
    <r>
      <rPr>
        <b/>
        <sz val="9"/>
        <color theme="1"/>
        <rFont val="Arial"/>
        <family val="2"/>
      </rPr>
      <t>Aging Analysis</t>
    </r>
    <r>
      <rPr>
        <sz val="9"/>
        <color theme="1"/>
        <rFont val="Arial"/>
        <family val="2"/>
      </rPr>
      <t>: Time-based evaluations.</t>
    </r>
  </si>
  <si>
    <t>Demonstrate that the solution has the ability to perform Aging Analysis: Time-based evaluations</t>
  </si>
  <si>
    <t>Functional 17</t>
  </si>
  <si>
    <r>
      <rPr>
        <b/>
        <u/>
        <sz val="9"/>
        <color theme="1"/>
        <rFont val="Arial"/>
        <family val="2"/>
      </rPr>
      <t xml:space="preserve">Data Analysis Capabilities </t>
    </r>
    <r>
      <rPr>
        <sz val="9"/>
        <color theme="1"/>
        <rFont val="Arial"/>
        <family val="2"/>
      </rPr>
      <t xml:space="preserve">
• </t>
    </r>
    <r>
      <rPr>
        <b/>
        <sz val="9"/>
        <color theme="1"/>
        <rFont val="Arial"/>
        <family val="2"/>
      </rPr>
      <t>Benford’s Law Testing</t>
    </r>
    <r>
      <rPr>
        <sz val="9"/>
        <color theme="1"/>
        <rFont val="Arial"/>
        <family val="2"/>
      </rPr>
      <t>: Fraud detection.</t>
    </r>
  </si>
  <si>
    <t>Demonstrate that the solution has the ability to apply Benford’s Law Testing: Fraud detection</t>
  </si>
  <si>
    <t>Functional 18</t>
  </si>
  <si>
    <r>
      <rPr>
        <b/>
        <u/>
        <sz val="9"/>
        <color theme="1"/>
        <rFont val="Arial"/>
        <family val="2"/>
      </rPr>
      <t xml:space="preserve">Data Analysis Capabilities </t>
    </r>
    <r>
      <rPr>
        <sz val="9"/>
        <color theme="1"/>
        <rFont val="Arial"/>
        <family val="2"/>
      </rPr>
      <t xml:space="preserve">
• </t>
    </r>
    <r>
      <rPr>
        <b/>
        <sz val="9"/>
        <color theme="1"/>
        <rFont val="Arial"/>
        <family val="2"/>
      </rPr>
      <t>Custom Formulas &amp; Functions</t>
    </r>
    <r>
      <rPr>
        <sz val="9"/>
        <color theme="1"/>
        <rFont val="Arial"/>
        <family val="2"/>
      </rPr>
      <t>: Build equations and scripts.</t>
    </r>
  </si>
  <si>
    <t>Demonstrate that the solution has the ability to create Custom Formulas &amp; Functions: Build equations and scripts</t>
  </si>
  <si>
    <t>Functional 19</t>
  </si>
  <si>
    <r>
      <rPr>
        <b/>
        <u/>
        <sz val="9"/>
        <color theme="1"/>
        <rFont val="Arial"/>
        <family val="2"/>
      </rPr>
      <t xml:space="preserve">Data Analysis Capabilities </t>
    </r>
    <r>
      <rPr>
        <sz val="9"/>
        <color theme="1"/>
        <rFont val="Arial"/>
        <family val="2"/>
      </rPr>
      <t xml:space="preserve">
• </t>
    </r>
    <r>
      <rPr>
        <b/>
        <sz val="9"/>
        <color theme="1"/>
        <rFont val="Arial"/>
        <family val="2"/>
      </rPr>
      <t>Pivot Tables</t>
    </r>
    <r>
      <rPr>
        <sz val="9"/>
        <color theme="1"/>
        <rFont val="Arial"/>
        <family val="2"/>
      </rPr>
      <t>: Multi-dimensional analysis.</t>
    </r>
  </si>
  <si>
    <t>Demonstrate that the solution has the ability to use Pivot Tables: Multi-dimensional analysis</t>
  </si>
  <si>
    <t>Functional 20</t>
  </si>
  <si>
    <r>
      <rPr>
        <b/>
        <u/>
        <sz val="9"/>
        <color theme="1"/>
        <rFont val="Arial"/>
        <family val="2"/>
      </rPr>
      <t xml:space="preserve">Data Analysis Capabilities </t>
    </r>
    <r>
      <rPr>
        <sz val="9"/>
        <color theme="1"/>
        <rFont val="Arial"/>
        <family val="2"/>
      </rPr>
      <t xml:space="preserve">
• </t>
    </r>
    <r>
      <rPr>
        <b/>
        <sz val="9"/>
        <color theme="1"/>
        <rFont val="Arial"/>
        <family val="2"/>
      </rPr>
      <t>Sampling Techniques</t>
    </r>
    <r>
      <rPr>
        <sz val="9"/>
        <color theme="1"/>
        <rFont val="Arial"/>
        <family val="2"/>
      </rPr>
      <t>: e.g. Statistical and targeted sampling.</t>
    </r>
  </si>
  <si>
    <t>Demonstrate that the solution has the ability to apply Sampling Techniques: e.g. Statistical and targeted sampling</t>
  </si>
  <si>
    <t>Functional 21</t>
  </si>
  <si>
    <r>
      <rPr>
        <b/>
        <u/>
        <sz val="9"/>
        <color theme="1"/>
        <rFont val="Arial"/>
        <family val="2"/>
      </rPr>
      <t xml:space="preserve">Data Analysis Capabilities </t>
    </r>
    <r>
      <rPr>
        <sz val="9"/>
        <color theme="1"/>
        <rFont val="Arial"/>
        <family val="2"/>
      </rPr>
      <t xml:space="preserve">
• </t>
    </r>
    <r>
      <rPr>
        <b/>
        <sz val="9"/>
        <color theme="1"/>
        <rFont val="Arial"/>
        <family val="2"/>
      </rPr>
      <t>Advanced Analytics</t>
    </r>
    <r>
      <rPr>
        <sz val="9"/>
        <color theme="1"/>
        <rFont val="Arial"/>
        <family val="2"/>
      </rPr>
      <t>: Regression, correlation, and time-series analysis.</t>
    </r>
  </si>
  <si>
    <t>Demonstrate that the solution has the ability to perform Advanced Analytics: Regression, correlation, and time-series analysis</t>
  </si>
  <si>
    <t>Functional 22</t>
  </si>
  <si>
    <r>
      <rPr>
        <b/>
        <u/>
        <sz val="9"/>
        <color theme="1"/>
        <rFont val="Arial"/>
        <family val="2"/>
      </rPr>
      <t xml:space="preserve">Automation &amp; Workflow </t>
    </r>
    <r>
      <rPr>
        <sz val="9"/>
        <color theme="1"/>
        <rFont val="Arial"/>
        <family val="2"/>
      </rPr>
      <t xml:space="preserve">
• </t>
    </r>
    <r>
      <rPr>
        <b/>
        <sz val="9"/>
        <color theme="1"/>
        <rFont val="Arial"/>
        <family val="2"/>
      </rPr>
      <t>Macros &amp; Scripts</t>
    </r>
    <r>
      <rPr>
        <sz val="9"/>
        <color theme="1"/>
        <rFont val="Arial"/>
        <family val="2"/>
      </rPr>
      <t>: Record, create, and edit automated test runs.</t>
    </r>
  </si>
  <si>
    <t>Demonstrate that the solution has the ability to create Macros &amp; Scripts: Record, create, and edit automated test runs</t>
  </si>
  <si>
    <t>Functional 23</t>
  </si>
  <si>
    <r>
      <rPr>
        <b/>
        <u/>
        <sz val="9"/>
        <color theme="1"/>
        <rFont val="Arial"/>
        <family val="2"/>
      </rPr>
      <t xml:space="preserve">Automation &amp; Workflow </t>
    </r>
    <r>
      <rPr>
        <sz val="9"/>
        <color theme="1"/>
        <rFont val="Arial"/>
        <family val="2"/>
      </rPr>
      <t xml:space="preserve">
</t>
    </r>
    <r>
      <rPr>
        <b/>
        <sz val="9"/>
        <color theme="1"/>
        <rFont val="Arial"/>
        <family val="2"/>
      </rPr>
      <t>• Custom Script Support</t>
    </r>
    <r>
      <rPr>
        <sz val="9"/>
        <color theme="1"/>
        <rFont val="Arial"/>
        <family val="2"/>
      </rPr>
      <t>: Built-in code interpreter for custom scripts and advanced analysis, e.g. Python.</t>
    </r>
  </si>
  <si>
    <t>Demonstrate that the solution provides Custom Script Support: Built-in code interpreter for custom scripts and advanced analysis, e.g. Python</t>
  </si>
  <si>
    <t>Functional 24</t>
  </si>
  <si>
    <r>
      <rPr>
        <b/>
        <u/>
        <sz val="9"/>
        <color theme="1"/>
        <rFont val="Arial"/>
        <family val="2"/>
      </rPr>
      <t xml:space="preserve">Automation &amp; Workflow </t>
    </r>
    <r>
      <rPr>
        <sz val="9"/>
        <color theme="1"/>
        <rFont val="Arial"/>
        <family val="2"/>
      </rPr>
      <t xml:space="preserve">
• </t>
    </r>
    <r>
      <rPr>
        <b/>
        <sz val="9"/>
        <color theme="1"/>
        <rFont val="Arial"/>
        <family val="2"/>
      </rPr>
      <t>Workflow Automation</t>
    </r>
    <r>
      <rPr>
        <sz val="9"/>
        <color theme="1"/>
        <rFont val="Arial"/>
        <family val="2"/>
      </rPr>
      <t>: Ready-made workflows for repetitive tasks.</t>
    </r>
  </si>
  <si>
    <t>Demonstrate that the solution provides Workflow Automation: Ready-made workflows for repetitive tasks</t>
  </si>
  <si>
    <t>Functional 25</t>
  </si>
  <si>
    <r>
      <rPr>
        <b/>
        <u/>
        <sz val="9"/>
        <color theme="1"/>
        <rFont val="Arial"/>
        <family val="2"/>
      </rPr>
      <t xml:space="preserve">Automation &amp; Workflow 
</t>
    </r>
    <r>
      <rPr>
        <sz val="9"/>
        <color theme="1"/>
        <rFont val="Arial"/>
        <family val="2"/>
      </rPr>
      <t xml:space="preserve">
• </t>
    </r>
    <r>
      <rPr>
        <b/>
        <sz val="9"/>
        <color theme="1"/>
        <rFont val="Arial"/>
        <family val="2"/>
      </rPr>
      <t>Robotic Process Automation (RPA):</t>
    </r>
    <r>
      <rPr>
        <sz val="9"/>
        <color theme="1"/>
        <rFont val="Arial"/>
        <family val="2"/>
      </rPr>
      <t xml:space="preserve"> End-to-end automation including extraction, analysis, and reporting. </t>
    </r>
  </si>
  <si>
    <t>Demonstrate that the solution provides Robotic Process Automation (RPA): End-to-end automation including extraction, analysis, and reporting</t>
  </si>
  <si>
    <t>Functional 26</t>
  </si>
  <si>
    <r>
      <rPr>
        <b/>
        <u/>
        <sz val="9"/>
        <color theme="1"/>
        <rFont val="Arial"/>
        <family val="2"/>
      </rPr>
      <t xml:space="preserve">Automation &amp; Workflow </t>
    </r>
    <r>
      <rPr>
        <sz val="9"/>
        <color theme="1"/>
        <rFont val="Arial"/>
        <family val="2"/>
      </rPr>
      <t xml:space="preserve">
•</t>
    </r>
    <r>
      <rPr>
        <b/>
        <sz val="9"/>
        <color theme="1"/>
        <rFont val="Arial"/>
        <family val="2"/>
      </rPr>
      <t xml:space="preserve"> Trigger-Based Automation</t>
    </r>
    <r>
      <rPr>
        <sz val="9"/>
        <color theme="1"/>
        <rFont val="Arial"/>
        <family val="2"/>
      </rPr>
      <t xml:space="preserve">: Execute processes when new data arrives. </t>
    </r>
  </si>
  <si>
    <t>Demonstrate that the solution provides Trigger-Based Automation: Execute processes when new data arrives</t>
  </si>
  <si>
    <t>Functional 27</t>
  </si>
  <si>
    <r>
      <rPr>
        <b/>
        <u/>
        <sz val="9"/>
        <color theme="1"/>
        <rFont val="Arial"/>
        <family val="2"/>
      </rPr>
      <t xml:space="preserve">Automation &amp; Workflow </t>
    </r>
    <r>
      <rPr>
        <sz val="9"/>
        <color theme="1"/>
        <rFont val="Arial"/>
        <family val="2"/>
      </rPr>
      <t xml:space="preserve">
• </t>
    </r>
    <r>
      <rPr>
        <b/>
        <sz val="9"/>
        <color theme="1"/>
        <rFont val="Arial"/>
        <family val="2"/>
      </rPr>
      <t>Integration with Audit Systems</t>
    </r>
    <r>
      <rPr>
        <sz val="9"/>
        <color theme="1"/>
        <rFont val="Arial"/>
        <family val="2"/>
      </rPr>
      <t xml:space="preserve">: Seamless connection to audit workflows. </t>
    </r>
  </si>
  <si>
    <t>Demonstrate that the solution has the ability to Integrate with Audit Systems: Seamless connection to audit workflows</t>
  </si>
  <si>
    <t>Functional 28</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</si>
  <si>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 xml:space="preserve">Integrated AI Script Assistant: </t>
    </r>
    <r>
      <rPr>
        <sz val="9"/>
        <color theme="1"/>
        <rFont val="Arial"/>
        <family val="2"/>
      </rPr>
      <t xml:space="preserve">Coding help and test creation. </t>
    </r>
  </si>
  <si>
    <t>Demonstrate that the solution provides an Integrated AI Script Assistant: Coding help and test creation</t>
  </si>
  <si>
    <t>Functional 29</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</si>
  <si>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 xml:space="preserve">Predictive Analytics: </t>
    </r>
    <r>
      <rPr>
        <sz val="9"/>
        <color theme="1"/>
        <rFont val="Arial"/>
        <family val="2"/>
      </rPr>
      <t xml:space="preserve">Forecasting and trend analysis. </t>
    </r>
  </si>
  <si>
    <t>Demonstrate that the solution has the ability to perform Predictive Analytics: Forecasting and trend analysis</t>
  </si>
  <si>
    <t>Functional 30</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</si>
  <si>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 xml:space="preserve">Low/No-Code Capabilities: </t>
    </r>
    <r>
      <rPr>
        <sz val="9"/>
        <color theme="1"/>
        <rFont val="Arial"/>
        <family val="2"/>
      </rPr>
      <t>Chat-based coding and analysis support.</t>
    </r>
  </si>
  <si>
    <t>Demonstrate that the solution includes Low/No-Code Capabilities: Chat-based coding and analysis support</t>
  </si>
  <si>
    <t>Functional 31</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</si>
  <si>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 xml:space="preserve">Anomaly Detection: </t>
    </r>
    <r>
      <rPr>
        <sz val="9"/>
        <color theme="1"/>
        <rFont val="Arial"/>
        <family val="2"/>
      </rPr>
      <t>Identify irregularities and fraud.</t>
    </r>
  </si>
  <si>
    <t>Demonstrate that the solution has the ability to perform Anomaly Detection: Identify irregularities and fraud</t>
  </si>
  <si>
    <t>Functional 32</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</si>
  <si>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 xml:space="preserve">Model Training &amp; Deployment: </t>
    </r>
    <r>
      <rPr>
        <sz val="9"/>
        <color theme="1"/>
        <rFont val="Arial"/>
        <family val="2"/>
      </rPr>
      <t>Build and deploy ML models.</t>
    </r>
  </si>
  <si>
    <t>Demonstrate that the solution has the ability to perform Model Training &amp; Deployment: Build and deploy ML models</t>
  </si>
  <si>
    <t>Functional 33</t>
  </si>
  <si>
    <r>
      <rPr>
        <b/>
        <u/>
        <sz val="9"/>
        <color theme="1"/>
        <rFont val="Arial"/>
        <family val="2"/>
      </rPr>
      <t xml:space="preserve">AI &amp; Machine Learning </t>
    </r>
    <r>
      <rPr>
        <b/>
        <sz val="9"/>
        <color theme="1"/>
        <rFont val="Arial"/>
        <family val="2"/>
      </rPr>
      <t xml:space="preserve">
</t>
    </r>
    <r>
      <rPr>
        <sz val="9"/>
        <color theme="1"/>
        <rFont val="Arial"/>
        <family val="2"/>
      </rPr>
      <t xml:space="preserve">
• </t>
    </r>
    <r>
      <rPr>
        <b/>
        <sz val="9"/>
        <color theme="1"/>
        <rFont val="Arial"/>
        <family val="2"/>
      </rPr>
      <t>AI-Driven Audit Narratives:</t>
    </r>
    <r>
      <rPr>
        <sz val="9"/>
        <color theme="1"/>
        <rFont val="Arial"/>
        <family val="2"/>
      </rPr>
      <t xml:space="preserve"> AI driven generation of audit findings, risk assessments, and narrative summaries.</t>
    </r>
  </si>
  <si>
    <t>Demonstrate that the solution provides AI-Driven Audit Narratives: AI driven generation of audit findings, risk assessments, and narrative summaries</t>
  </si>
  <si>
    <t>Functional 34</t>
  </si>
  <si>
    <r>
      <rPr>
        <b/>
        <u/>
        <sz val="9"/>
        <color theme="1"/>
        <rFont val="Arial"/>
        <family val="2"/>
      </rPr>
      <t xml:space="preserve">Reporting &amp; Dashboard Requirements </t>
    </r>
    <r>
      <rPr>
        <sz val="9"/>
        <color theme="1"/>
        <rFont val="Arial"/>
        <family val="2"/>
      </rPr>
      <t xml:space="preserve">
• </t>
    </r>
    <r>
      <rPr>
        <b/>
        <sz val="9"/>
        <color theme="1"/>
        <rFont val="Arial"/>
        <family val="2"/>
      </rPr>
      <t>Export Flexibility</t>
    </r>
    <r>
      <rPr>
        <sz val="9"/>
        <color theme="1"/>
        <rFont val="Arial"/>
        <family val="2"/>
      </rPr>
      <t>: Output/Export data in multiple file formats for external use.</t>
    </r>
  </si>
  <si>
    <t>Demonstrate that the solution provides Export Flexibility: Output/Export data in multiple file formats for external use</t>
  </si>
  <si>
    <t>Functional 35</t>
  </si>
  <si>
    <r>
      <rPr>
        <b/>
        <u/>
        <sz val="9"/>
        <color theme="1"/>
        <rFont val="Arial"/>
        <family val="2"/>
      </rPr>
      <t xml:space="preserve">Reporting &amp; Dashboard Requirements </t>
    </r>
    <r>
      <rPr>
        <sz val="9"/>
        <color theme="1"/>
        <rFont val="Arial"/>
        <family val="2"/>
      </rPr>
      <t xml:space="preserve">
• </t>
    </r>
    <r>
      <rPr>
        <b/>
        <sz val="9"/>
        <color theme="1"/>
        <rFont val="Arial"/>
        <family val="2"/>
      </rPr>
      <t>Data Visualization</t>
    </r>
    <r>
      <rPr>
        <sz val="9"/>
        <color theme="1"/>
        <rFont val="Arial"/>
        <family val="2"/>
      </rPr>
      <t>: Customizable dashboards with drill-down functionality, which can be shared with other users or published to external platforms (e.g., SharePoint).</t>
    </r>
  </si>
  <si>
    <t>Demonstrate that the solution has the ability to perform Data Visualization: Customizable dashboards with drill-down functionality, which can be shared with other users or published to external platforms (e.g., SharePoint)</t>
  </si>
  <si>
    <t>Functional 36</t>
  </si>
  <si>
    <r>
      <rPr>
        <b/>
        <u/>
        <sz val="9"/>
        <color theme="1"/>
        <rFont val="Arial"/>
        <family val="2"/>
      </rPr>
      <t xml:space="preserve">Reporting &amp; Dashboard Requirements </t>
    </r>
    <r>
      <rPr>
        <sz val="9"/>
        <color theme="1"/>
        <rFont val="Arial"/>
        <family val="2"/>
      </rPr>
      <t xml:space="preserve">
• </t>
    </r>
    <r>
      <rPr>
        <b/>
        <sz val="9"/>
        <color theme="1"/>
        <rFont val="Arial"/>
        <family val="2"/>
      </rPr>
      <t>Alert Dashboards</t>
    </r>
    <r>
      <rPr>
        <sz val="9"/>
        <color theme="1"/>
        <rFont val="Arial"/>
        <family val="2"/>
      </rPr>
      <t>: Centralized view of active alerts, status tracking, and filtering. Real-time refresh and role-based access control.</t>
    </r>
  </si>
  <si>
    <t>Demonstrate that the solution provides Alert Dashboards: Centralized view of active alerts, status tracking, and filtering. Real-time refresh and role-based access control</t>
  </si>
  <si>
    <t>Functional 37</t>
  </si>
  <si>
    <r>
      <rPr>
        <b/>
        <u/>
        <sz val="9"/>
        <color theme="1"/>
        <rFont val="Arial"/>
        <family val="2"/>
      </rPr>
      <t xml:space="preserve">Reporting &amp; Dashboard Requirements </t>
    </r>
    <r>
      <rPr>
        <sz val="9"/>
        <color theme="1"/>
        <rFont val="Arial"/>
        <family val="2"/>
      </rPr>
      <t xml:space="preserve">
• </t>
    </r>
    <r>
      <rPr>
        <b/>
        <sz val="9"/>
        <color theme="1"/>
        <rFont val="Arial"/>
        <family val="2"/>
      </rPr>
      <t>Multi-Channel Notifications/ Automated Reporting</t>
    </r>
    <r>
      <rPr>
        <sz val="9"/>
        <color theme="1"/>
        <rFont val="Arial"/>
        <family val="2"/>
      </rPr>
      <t>: Scheduled and ad hoc reports (Send alerts / results via Email, SMS, Teams, designated folders and dashboards with escalation).</t>
    </r>
  </si>
  <si>
    <t>Demonstrate that the solution provides Multi-Channel Notifications/ Automated Reporting: Scheduled and ad hoc reports (Send alerts / results via Email, SMS, Teams, designated folders and dashboards with escalation)</t>
  </si>
  <si>
    <t>Functional 38</t>
  </si>
  <si>
    <r>
      <rPr>
        <b/>
        <u/>
        <sz val="9"/>
        <color theme="1"/>
        <rFont val="Arial"/>
        <family val="2"/>
      </rPr>
      <t xml:space="preserve">Reporting &amp; Dashboard Requirements </t>
    </r>
    <r>
      <rPr>
        <sz val="9"/>
        <color theme="1"/>
        <rFont val="Arial"/>
        <family val="2"/>
      </rPr>
      <t xml:space="preserve">
• </t>
    </r>
    <r>
      <rPr>
        <b/>
        <sz val="9"/>
        <color theme="1"/>
        <rFont val="Arial"/>
        <family val="2"/>
      </rPr>
      <t>Real-time audit alerts</t>
    </r>
    <r>
      <rPr>
        <sz val="9"/>
        <color theme="1"/>
        <rFont val="Arial"/>
        <family val="2"/>
      </rPr>
      <t>: Generate customisable (no coding) alerts for e.g. anomalies, fraud indicators, duplicate transactions, compliance failures, and control breaches with alerts routing to stakeholders (based on roles and hierarchy).</t>
    </r>
  </si>
  <si>
    <t>Demonstrate that the solution provides Real-time audit alerts: Generate customisable (no coding) alerts for e.g. anomalies, fraud indicators, duplicate transactions, compliance failures, and control breaches with alerts routing to stakeholders (based on roles and hierarchy)</t>
  </si>
  <si>
    <t>Functional 39</t>
  </si>
  <si>
    <r>
      <rPr>
        <b/>
        <u/>
        <sz val="9"/>
        <color theme="1"/>
        <rFont val="Arial"/>
        <family val="2"/>
      </rPr>
      <t xml:space="preserve">Reporting &amp; Dashboard Requirements </t>
    </r>
    <r>
      <rPr>
        <sz val="9"/>
        <color theme="1"/>
        <rFont val="Arial"/>
        <family val="2"/>
      </rPr>
      <t xml:space="preserve">
•</t>
    </r>
    <r>
      <rPr>
        <b/>
        <sz val="9"/>
        <color theme="1"/>
        <rFont val="Arial"/>
        <family val="2"/>
      </rPr>
      <t xml:space="preserve"> Data Distribution</t>
    </r>
    <r>
      <rPr>
        <sz val="9"/>
        <color theme="1"/>
        <rFont val="Arial"/>
        <family val="2"/>
      </rPr>
      <t>: Push processed datasets to shared folders or cloud storage.</t>
    </r>
  </si>
  <si>
    <t>Demonstrate that the solution has the ability to perform Data Distribution: Push processed datasets to shared folders or cloud storage</t>
  </si>
  <si>
    <t>Functional 40</t>
  </si>
  <si>
    <r>
      <rPr>
        <b/>
        <u/>
        <sz val="9"/>
        <color theme="1"/>
        <rFont val="Arial"/>
        <family val="2"/>
      </rPr>
      <t xml:space="preserve">Data Integrity &amp; Security </t>
    </r>
    <r>
      <rPr>
        <sz val="9"/>
        <color theme="1"/>
        <rFont val="Arial"/>
        <family val="2"/>
      </rPr>
      <t xml:space="preserve">
• </t>
    </r>
    <r>
      <rPr>
        <b/>
        <sz val="9"/>
        <color theme="1"/>
        <rFont val="Arial"/>
        <family val="2"/>
      </rPr>
      <t>Validation &amp; Control Testing</t>
    </r>
    <r>
      <rPr>
        <sz val="9"/>
        <color theme="1"/>
        <rFont val="Arial"/>
        <family val="2"/>
      </rPr>
      <t xml:space="preserve">: Detect missing values, duplicates, gaps, and sequence errors. 
</t>
    </r>
  </si>
  <si>
    <t>Demonstrate that the solution has the ability to perform Validation &amp; Control Testing: Detect missing values, duplicates, gaps, and sequence errors</t>
  </si>
  <si>
    <t>Functional 41</t>
  </si>
  <si>
    <r>
      <rPr>
        <b/>
        <u/>
        <sz val="9"/>
        <color theme="1"/>
        <rFont val="Arial"/>
        <family val="2"/>
      </rPr>
      <t xml:space="preserve">Data Integrity &amp; Security </t>
    </r>
    <r>
      <rPr>
        <sz val="9"/>
        <color theme="1"/>
        <rFont val="Arial"/>
        <family val="2"/>
      </rPr>
      <t xml:space="preserve">
</t>
    </r>
    <r>
      <rPr>
        <b/>
        <sz val="9"/>
        <color theme="1"/>
        <rFont val="Arial"/>
        <family val="2"/>
      </rPr>
      <t xml:space="preserve">
• Data Encryption &amp; Protection:</t>
    </r>
    <r>
      <rPr>
        <sz val="9"/>
        <color theme="1"/>
        <rFont val="Arial"/>
        <family val="2"/>
      </rPr>
      <t xml:space="preserve"> Encrypt files and projects; password protection. </t>
    </r>
  </si>
  <si>
    <t>Demonstrate that the solution has the ability to implement Data Encryption &amp; Protection: Encrypt files and projects; password protection</t>
  </si>
  <si>
    <t>Functional 42</t>
  </si>
  <si>
    <r>
      <rPr>
        <b/>
        <u/>
        <sz val="9"/>
        <color theme="1"/>
        <rFont val="Arial"/>
        <family val="2"/>
      </rPr>
      <t xml:space="preserve">Data Integrity &amp; Security </t>
    </r>
    <r>
      <rPr>
        <sz val="9"/>
        <color theme="1"/>
        <rFont val="Arial"/>
        <family val="2"/>
      </rPr>
      <t xml:space="preserve">
• </t>
    </r>
    <r>
      <rPr>
        <b/>
        <sz val="9"/>
        <color theme="1"/>
        <rFont val="Arial"/>
        <family val="2"/>
      </rPr>
      <t>Audit Trail</t>
    </r>
    <r>
      <rPr>
        <sz val="9"/>
        <color theme="1"/>
        <rFont val="Arial"/>
        <family val="2"/>
      </rPr>
      <t xml:space="preserve">: Immutable history of commands, scripts, and changes. </t>
    </r>
  </si>
  <si>
    <t>Demonstrate that the solution has the ability to create Audit Trails: Immutable history of commands, scripts, and changes</t>
  </si>
  <si>
    <t>Functional 43</t>
  </si>
  <si>
    <r>
      <rPr>
        <b/>
        <u/>
        <sz val="9"/>
        <color theme="1"/>
        <rFont val="Arial"/>
        <family val="2"/>
      </rPr>
      <t xml:space="preserve">Data Integrity &amp; Security </t>
    </r>
    <r>
      <rPr>
        <sz val="9"/>
        <color theme="1"/>
        <rFont val="Arial"/>
        <family val="2"/>
      </rPr>
      <t xml:space="preserve">
• </t>
    </r>
    <r>
      <rPr>
        <b/>
        <sz val="9"/>
        <color theme="1"/>
        <rFont val="Arial"/>
        <family val="2"/>
      </rPr>
      <t>Secure Audit Trail Export</t>
    </r>
    <r>
      <rPr>
        <sz val="9"/>
        <color theme="1"/>
        <rFont val="Arial"/>
        <family val="2"/>
      </rPr>
      <t>: Downloadable in secure formats.</t>
    </r>
  </si>
  <si>
    <t>Demonstrate that the solution provides Secure Audit Trail Export: Downloadable in secure formats</t>
  </si>
  <si>
    <t>Eskom Group Technology:
Technical Evaluation Criteria</t>
  </si>
  <si>
    <t>Test 1</t>
  </si>
  <si>
    <t>Very important</t>
  </si>
  <si>
    <t>Test 2</t>
  </si>
  <si>
    <t>Test 3</t>
  </si>
  <si>
    <t>100= Solution supports an average hit rate &gt; 114 hits / sec,
50= Solution supports an average hit rate &lt;= 114 hits / sec, 
0 = No performance testing results received</t>
  </si>
  <si>
    <t>100= Solution supports an average hit rate &gt; 114 hits / sec</t>
  </si>
  <si>
    <t>Test 4</t>
  </si>
  <si>
    <t>In your technical response, please provide performance testing results/reports showing how many concurrent users the solution can handle.</t>
  </si>
  <si>
    <t>INT1</t>
  </si>
  <si>
    <t>Eskom requires the solution to support  API based integration</t>
  </si>
  <si>
    <t>1. Functionality is delivered out of the box / std functionality,
2. Functionality is delivered via a 3rd party OR customization,
3. Functionality is not currently supported</t>
  </si>
  <si>
    <t>1. Functionality is delivered out of the box / std functionality</t>
  </si>
  <si>
    <t>INT2</t>
  </si>
  <si>
    <t>Eskom requires the solution to support API's exposure as services</t>
  </si>
  <si>
    <t>INT3</t>
  </si>
  <si>
    <t>Eskom requires the solution to support the following list of integration protocols: web services, REST API and SOAP.</t>
  </si>
  <si>
    <t>INT4</t>
  </si>
  <si>
    <t>Eskom requires the solution to support Application Business Services that can receive an Integration reply with a full-service response (pre-defined message structure) in case the Application is invoking an Integration Web Service</t>
  </si>
  <si>
    <t>INT5</t>
  </si>
  <si>
    <t>Eskom requires the solution to provides application business services that can communicate via one-way or two-way certificate (SSL/TLS) to secure the channel.</t>
  </si>
  <si>
    <t>INT6</t>
  </si>
  <si>
    <t>Eskom requires the solution to provides application business services that support basic authentication for web services, database or SFTP for authentication security.</t>
  </si>
  <si>
    <t>INT7</t>
  </si>
  <si>
    <t>Eskom requires the solution to provide application business service with the capability to distinguish between technical and business error and handle each one in a separate manner.</t>
  </si>
  <si>
    <t>Useful</t>
  </si>
  <si>
    <t>INT8</t>
  </si>
  <si>
    <t>Standard 1</t>
  </si>
  <si>
    <t xml:space="preserve"> Support for Windows 11, Microsoft Edge and Firefox.  Google Chrome is accepted where proof is provided that Edge and Firefox do not work.</t>
  </si>
  <si>
    <t xml:space="preserve">Provide proof that the vendor's solution works on Windows 11 and is compatible with Edge and Firefox
</t>
  </si>
  <si>
    <t>1. Compliant, 
2. Non-compliant</t>
  </si>
  <si>
    <t>1. Compliant</t>
  </si>
  <si>
    <t>SCR 1.1</t>
  </si>
  <si>
    <r>
      <rPr>
        <b/>
        <sz val="9"/>
        <color rgb="FF000000"/>
        <rFont val="Aptos Narrow"/>
        <family val="2"/>
        <scheme val="minor"/>
      </rPr>
      <t xml:space="preserve">Third-Party Attestation Reports
</t>
    </r>
    <r>
      <rPr>
        <sz val="9"/>
        <color rgb="FF000000"/>
        <rFont val="Aptos Narrow"/>
        <family val="2"/>
        <scheme val="minor"/>
      </rPr>
      <t>The Tenderer shall have a valid System and Organization Controls (SOC) 1 Type II and SOC 2 Type II Reports for the proposed Software as a Service (SaaS) solution.
 If the SOC 1 Type II and SOC 2 Type II report are older than six (6) months, the Bridge Letter must be submitted.</t>
    </r>
  </si>
  <si>
    <t>The Tenderer is required to submit a valid SOC 1 Type II and SOC 2 Type II Reports for the proposed SaaS solution.
 If the SOC 1 Type II and SOC 2 Type II report are older than six (6) months, the Bridge Letter must be submitted.</t>
  </si>
  <si>
    <t>(100%) Fully comply with requirement - Tenderer does have a valid SOC 2 Type II and/or Bridge Letter;
(0%) No compliance - Tenderer does not have the SOC 2 Type II Report and/or Bridge Letter</t>
  </si>
  <si>
    <t>(100%) Fully comply with requirement - Tenderer does have a valid SOC 2 Type II and/or Bridge Letter</t>
  </si>
  <si>
    <t>SCR 1.2</t>
  </si>
  <si>
    <r>
      <rPr>
        <b/>
        <sz val="9"/>
        <color rgb="FF000000"/>
        <rFont val="Aptos Narrow"/>
        <family val="2"/>
        <scheme val="minor"/>
      </rPr>
      <t xml:space="preserve">ISO Certifications
</t>
    </r>
    <r>
      <rPr>
        <sz val="9"/>
        <color rgb="FF000000"/>
        <rFont val="Aptos Narrow"/>
        <family val="2"/>
        <scheme val="minor"/>
      </rPr>
      <t>The Tenderer shall have a</t>
    </r>
    <r>
      <rPr>
        <b/>
        <sz val="9"/>
        <color rgb="FF000000"/>
        <rFont val="Aptos Narrow"/>
        <family val="2"/>
        <scheme val="minor"/>
      </rPr>
      <t xml:space="preserve"> </t>
    </r>
    <r>
      <rPr>
        <sz val="9"/>
        <color rgb="FF000000"/>
        <rFont val="Aptos Narrow"/>
        <family val="2"/>
        <scheme val="minor"/>
      </rPr>
      <t>valid ISO27001 certificate</t>
    </r>
  </si>
  <si>
    <t>The Tenderer is required to submit a valid ISO 27001 certificate.</t>
  </si>
  <si>
    <t>(100%) Fully comply with requirement - Tenderer does have a valid ISO27001 Certificate; 
(0%) No compliance - Tenderer does not have ISO27001 Certificate.</t>
  </si>
  <si>
    <t>(100%) Fully comply with requirement - Tenderer does have a valid ISO27001 Certificate</t>
  </si>
  <si>
    <t>SCR 1.3</t>
  </si>
  <si>
    <r>
      <rPr>
        <b/>
        <sz val="9"/>
        <color rgb="FF000000"/>
        <rFont val="Aptos Narrow"/>
        <family val="2"/>
        <scheme val="minor"/>
      </rPr>
      <t xml:space="preserve">ISO Certifications
</t>
    </r>
    <r>
      <rPr>
        <sz val="9"/>
        <color rgb="FF000000"/>
        <rFont val="Aptos Narrow"/>
        <family val="2"/>
        <scheme val="minor"/>
      </rPr>
      <t>The Tenderer shall have valid ISO27017 and ISO27018 certificates</t>
    </r>
  </si>
  <si>
    <t>The Tenderer is required to submit a valid ISO27017 and ISO27018 certificates.</t>
  </si>
  <si>
    <t>(100%) Fully comply with requirement - Tenderer does have a valid ISO27017 and ISO27018 Certificates; 
(0%) No compliance - Tenderer does not have ISO27017 and ISO27018 Certificates.</t>
  </si>
  <si>
    <t>(100%) Fully comply with requirement - Tenderer does have a valid ISO27017 and ISO27018 Certificates</t>
  </si>
  <si>
    <t>SCR 1.4</t>
  </si>
  <si>
    <r>
      <rPr>
        <b/>
        <sz val="9"/>
        <color rgb="FF000000"/>
        <rFont val="Aptos Narrow"/>
        <family val="2"/>
        <scheme val="minor"/>
      </rPr>
      <t xml:space="preserve">Integration to Eskom's existing Identity Providers (IdP's)
</t>
    </r>
    <r>
      <rPr>
        <sz val="9"/>
        <color rgb="FF000000"/>
        <rFont val="Aptos Narrow"/>
        <family val="2"/>
        <scheme val="minor"/>
      </rPr>
      <t>Integration to Eskom's existing IdP's such as Microsoft (MS) on-prem active directory (AD) and</t>
    </r>
    <r>
      <rPr>
        <sz val="9"/>
        <rFont val="Aptos Narrow"/>
        <family val="2"/>
        <scheme val="minor"/>
      </rPr>
      <t xml:space="preserve"> MS Entra ID</t>
    </r>
    <r>
      <rPr>
        <sz val="9"/>
        <color rgb="FF000000"/>
        <rFont val="Aptos Narrow"/>
        <family val="2"/>
        <scheme val="minor"/>
      </rPr>
      <t xml:space="preserve"> to enable Multi-factor Authentication (MFA) and Single sign on (SSO).
The proposed  solution shall be able to integrate with existing Eskom’s IdP’s such as MS AD and shall support SAML 2.0, OAuth 2.0 and OAuth 2.1 to enable MFA and SSO.</t>
    </r>
  </si>
  <si>
    <t>The Tenderer is required to submit the OEM documentation, technical specification and design that depicts that the proposed solution supports SAML 2.0, OAuth 2.0 and OAuth 2.1 to enable MFA and SSO.</t>
  </si>
  <si>
    <t>(100%) Fully comply with requirement - The proposed solution does integrate with Eskom's MS AD, and Entra ID to enable SSO and MFA; 
(0%) No compliance - The proposed solution is unable to integrate with MS AD, MDI, Entra ID and MFA.</t>
  </si>
  <si>
    <t>(100%) Fully comply with requirement - The proposed solution does integrate with Eskom's MS AD, and Entra ID to enable SSO and MFA</t>
  </si>
  <si>
    <t>SCR 1.5</t>
  </si>
  <si>
    <r>
      <rPr>
        <b/>
        <sz val="9"/>
        <color rgb="FF000000"/>
        <rFont val="Aptos Narrow"/>
        <family val="2"/>
        <scheme val="minor"/>
      </rPr>
      <t xml:space="preserve">RBAC
</t>
    </r>
    <r>
      <rPr>
        <sz val="9"/>
        <color rgb="FF000000"/>
        <rFont val="Aptos Narrow"/>
        <family val="2"/>
        <scheme val="minor"/>
      </rPr>
      <t>The</t>
    </r>
    <r>
      <rPr>
        <b/>
        <sz val="9"/>
        <color rgb="FF000000"/>
        <rFont val="Aptos Narrow"/>
        <family val="2"/>
        <scheme val="minor"/>
      </rPr>
      <t xml:space="preserve"> </t>
    </r>
    <r>
      <rPr>
        <sz val="9"/>
        <color rgb="FF000000"/>
        <rFont val="Aptos Narrow"/>
        <family val="2"/>
        <scheme val="minor"/>
      </rPr>
      <t>proposed SaaS solution shall support and employ Role-Based Access Control (RBAC) mechanism.</t>
    </r>
  </si>
  <si>
    <t xml:space="preserve">The Tenderer is required to submit the OEM documentation, technical specification and design that depicts that the solution supports RBAC.  </t>
  </si>
  <si>
    <t>(100%) Fully comply with requirement - The proposed solution does support and employ RBAC mechanism; 
(0%) No compliance - The proposed solution does not support and employ RBAC mechanism</t>
  </si>
  <si>
    <t>(100%) Fully comply with requirement - The proposed solution does support and employ RBAC mechanism</t>
  </si>
  <si>
    <t>SCR 1.6</t>
  </si>
  <si>
    <r>
      <rPr>
        <b/>
        <sz val="9"/>
        <color rgb="FF000000"/>
        <rFont val="Aptos Narrow"/>
        <family val="2"/>
        <scheme val="minor"/>
      </rPr>
      <t xml:space="preserve">Encryption Standard
</t>
    </r>
    <r>
      <rPr>
        <sz val="9"/>
        <color rgb="FF000000"/>
        <rFont val="Aptos Narrow"/>
        <family val="2"/>
        <scheme val="minor"/>
      </rPr>
      <t>The proposed SaaS solution shall</t>
    </r>
    <r>
      <rPr>
        <b/>
        <sz val="9"/>
        <color rgb="FF000000"/>
        <rFont val="Aptos Narrow"/>
        <family val="2"/>
        <scheme val="minor"/>
      </rPr>
      <t xml:space="preserve"> </t>
    </r>
    <r>
      <rPr>
        <sz val="9"/>
        <color rgb="FF000000"/>
        <rFont val="Aptos Narrow"/>
        <family val="2"/>
        <scheme val="minor"/>
      </rPr>
      <t>encrypt data at rest using at minimum AES-256, in use and  in transit (or in motion) using at minimum TLS 1.3 or later version.</t>
    </r>
  </si>
  <si>
    <t>The Tenderer is required to submit the OEM documentation, technical specification and design that depicts that data  is encrypted in transit, at rest and in use.</t>
  </si>
  <si>
    <t>(100%) Fully comply with requirement - The proposed solution does encrypt data at rest (AES-256) and in transit (TLS 1.3 or later version); 
(0%) No compliance - The proposed solution does not encrypt data at rest (AES-256) and in transit (TLS 1.3 or later version)</t>
  </si>
  <si>
    <t>(100%) Fully comply with requirement - The proposed solution does encrypt data at rest (AES-256) and in transit (TLS 1.3 or later version)</t>
  </si>
  <si>
    <t>SCR 1.7</t>
  </si>
  <si>
    <r>
      <t xml:space="preserve">Cryptographic Hashing
</t>
    </r>
    <r>
      <rPr>
        <sz val="9"/>
        <color rgb="FF000000"/>
        <rFont val="Aptos Narrow"/>
        <family val="2"/>
        <scheme val="minor"/>
      </rPr>
      <t>Data shall be secured at minimum using a secure hash algorithm (SHA) - 256 for data integrity, securing transactions and messages</t>
    </r>
  </si>
  <si>
    <t>The Tenderer is required to submit the OEM documentation technical specifications, and system design that depict that the proposed system supports (SHA)-256</t>
  </si>
  <si>
    <t xml:space="preserve">(100%) Fully comply with requirement - The proposed solution does secure data using Hash algorithm (SHA)-256 for data intergrity; 
(0%) No compliance - The proposed solution does not secure data using Hash algorithm (SHA)-256 for data intergrity </t>
  </si>
  <si>
    <t>(100%) Fully comply with requirement - The proposed solution does secure data using Hash algorithm (SHA)-256 for data intergrity</t>
  </si>
  <si>
    <t>SCR 1.8</t>
  </si>
  <si>
    <r>
      <rPr>
        <b/>
        <sz val="9"/>
        <color rgb="FF000000"/>
        <rFont val="Calibri"/>
        <family val="2"/>
      </rPr>
      <t xml:space="preserve">Data Integrity 
</t>
    </r>
    <r>
      <rPr>
        <sz val="9"/>
        <color rgb="FF000000"/>
        <rFont val="Calibri"/>
        <family val="2"/>
      </rPr>
      <t>For all systems that store and process financial information, data shall be encrypted at minimum using a secure hash algorithm (SHA)-256 for data integrity, securing transactions, and messages.</t>
    </r>
  </si>
  <si>
    <t>The Tenderer is required to submit the OEM documentation, technical specification and design that depicts that data integrity is secured using hash algorithm.</t>
  </si>
  <si>
    <t>100%) Fully comply with requirement - The proposed solution does support hash algorithm (SHA)- 256; 
(0%) No compliance - The proposed solution does not support hash algorithm (SHA)- 256.</t>
  </si>
  <si>
    <t>100%) Fully comply with requirement - The proposed solution does support hash algorithm (SHA)- 256</t>
  </si>
  <si>
    <t>SCR 1.9</t>
  </si>
  <si>
    <r>
      <rPr>
        <b/>
        <sz val="9"/>
        <color rgb="FF000000"/>
        <rFont val="Aptos Narrow"/>
        <family val="2"/>
        <scheme val="minor"/>
      </rPr>
      <t xml:space="preserve">Audit Trails, Logs, User and Activity Logs
</t>
    </r>
    <r>
      <rPr>
        <sz val="9"/>
        <color rgb="FF000000"/>
        <rFont val="Aptos Narrow"/>
        <family val="2"/>
        <scheme val="minor"/>
      </rPr>
      <t>The proposed SaaS solution shall have Audit trails, logs, user administration and user activity logs enabled, encrypted, and securely kept with limited access to administrators.</t>
    </r>
  </si>
  <si>
    <t>The Tenderer is required to submit the OEM documentation, technical specification and design that depicts that logs are enabled, encrypred and security kept.</t>
  </si>
  <si>
    <t>(100%) Fully comply with requirement - The proposed solution does have Audit trails, logs, user administration and user activity logs shall be enabled, encrypted, and securely kept with limited access to administrators; 
(0%) No compliance - The proposed solution does not have Audit trails, logs, user administration and user activity logs shall be enabled, encrypted, and securely kept with limited access to administrators.</t>
  </si>
  <si>
    <t>(100%) Fully comply with requirement - The proposed solution does have Audit trails, logs, user administration and user activity logs shall be enabled, encrypted, and securely kept with limited access to administrators</t>
  </si>
  <si>
    <t>SCR 1.10</t>
  </si>
  <si>
    <r>
      <rPr>
        <b/>
        <sz val="9"/>
        <color rgb="FF000000"/>
        <rFont val="Aptos Narrow"/>
        <family val="2"/>
        <scheme val="minor"/>
      </rPr>
      <t xml:space="preserve">Data Masking
</t>
    </r>
    <r>
      <rPr>
        <sz val="9"/>
        <color rgb="FF000000"/>
        <rFont val="Aptos Narrow"/>
        <family val="2"/>
        <scheme val="minor"/>
      </rPr>
      <t>Sensitive data such as Personal Identifiable Information (PII) shall be masked on the non-production environments to lessen exposure.</t>
    </r>
  </si>
  <si>
    <t>The Tenderer is required to submit the OEM documentation, technical specification and design that depicts that data masking is masked in non-production environement.</t>
  </si>
  <si>
    <t>(100%) Fully comply with requirement - The proposed solution does mask PII on nonproduction environments; 
(0%) No compliance - The proposed solution does not mask PII in nonproduction environments.</t>
  </si>
  <si>
    <t>(100%) Fully comply with requirement - The proposed solution does mask PII on nonproduction environments</t>
  </si>
  <si>
    <t>SCR 1.11</t>
  </si>
  <si>
    <r>
      <rPr>
        <b/>
        <sz val="9"/>
        <color rgb="FF000000"/>
        <rFont val="Aptos Narrow"/>
        <family val="2"/>
        <scheme val="minor"/>
      </rPr>
      <t xml:space="preserve">Daily Incremental Back Ups
</t>
    </r>
    <r>
      <rPr>
        <sz val="9"/>
        <color rgb="FF000000"/>
        <rFont val="Aptos Narrow"/>
        <family val="2"/>
        <scheme val="minor"/>
      </rPr>
      <t xml:space="preserve">Incremental daily back-ups shall be done, encrypted, and securely kept offsite. </t>
    </r>
  </si>
  <si>
    <t xml:space="preserve">The Tenderer is required to submit the OEM documentation, technical specification and design that depicts that daily increamental back ups are done, encrypted and kept offsite. </t>
  </si>
  <si>
    <t>(100%) Fully comply with requirement - Daily incremental Back ups are done, encrypted and securely kept offsite; 
(0%) No compliance - No daily incremental back ups.</t>
  </si>
  <si>
    <t>(100%) Fully comply with requirement - Daily incremental Back ups are done, encrypted and securely kept offsite</t>
  </si>
  <si>
    <t>SCR 1.12</t>
  </si>
  <si>
    <r>
      <rPr>
        <b/>
        <sz val="9"/>
        <color rgb="FF000000"/>
        <rFont val="Aptos Narrow"/>
        <family val="2"/>
        <scheme val="minor"/>
      </rPr>
      <t xml:space="preserve">Real-time data synchronization or data replication
</t>
    </r>
    <r>
      <rPr>
        <sz val="9"/>
        <color rgb="FF000000"/>
        <rFont val="Aptos Narrow"/>
        <family val="2"/>
        <scheme val="minor"/>
      </rPr>
      <t xml:space="preserve">The Tenderer shall employ real-time data synchronization or data replication to a secondary or disaster recovery (DR) site, located in different region. </t>
    </r>
  </si>
  <si>
    <t xml:space="preserve">The Tenderer is required to submit the OEM documentation, technical specification and design that depicts thatdata is syncronised, replicated to secondary site. </t>
  </si>
  <si>
    <t>(100%) Fully comply with requirement - Real-time or data synchronisation is employed; 
(0%) No compliance - No real-time or data synchronisation is employed.</t>
  </si>
  <si>
    <t>(100%) Fully comply with requirement - Real-time or data synchronisation is employed</t>
  </si>
  <si>
    <t>SCR 1.13</t>
  </si>
  <si>
    <r>
      <rPr>
        <b/>
        <sz val="9"/>
        <color rgb="FF000000"/>
        <rFont val="Aptos Narrow"/>
        <family val="2"/>
        <scheme val="minor"/>
      </rPr>
      <t xml:space="preserve">DRP/IRM
</t>
    </r>
    <r>
      <rPr>
        <sz val="9"/>
        <color rgb="FF000000"/>
        <rFont val="Aptos Narrow"/>
        <family val="2"/>
        <scheme val="minor"/>
      </rPr>
      <t>1. The Tenderer shall have Disaster Recovery Plan (DRP) and Back up Restore Plan defined, annually tested.
2. The Tenderer shall have Incident Response Management (IRM) process defined, and part of the service level agreement (SLA) and master service agreement (MSA).
3. The Tenderer is required to specify the recovery point objective (RPO) and recovery time objective (RTO)</t>
    </r>
  </si>
  <si>
    <t>The Tenderer is required to submit a recent DRP Results and Back up Restore Results, IRM Process, SLA, RPO and RTO.</t>
  </si>
  <si>
    <t xml:space="preserve">
(100%) DRP and Back up Plan is defined, annually tested and IRM is in place and part of the SLA/MSA; 
(0%) DRP, Back up Restore Plan, IRM is not in place and not tested.</t>
  </si>
  <si>
    <t xml:space="preserve">
(100%) DRP and Back up Plan is defined, annually tested and IRM is in place and part of the SLA/MSA</t>
  </si>
  <si>
    <t>SCR 1.14</t>
  </si>
  <si>
    <r>
      <rPr>
        <b/>
        <sz val="9"/>
        <color rgb="FF000000"/>
        <rFont val="Aptos Narrow"/>
        <family val="2"/>
        <scheme val="minor"/>
      </rPr>
      <t xml:space="preserve">Patch Management
</t>
    </r>
    <r>
      <rPr>
        <sz val="9"/>
        <color rgb="FF000000"/>
        <rFont val="Aptos Narrow"/>
        <family val="2"/>
        <scheme val="minor"/>
      </rPr>
      <t>Patch Management Process  shall be defined. Software updates and patches shall be tested on development environment prior being deployed into production environment.</t>
    </r>
  </si>
  <si>
    <t>The Tenderer is required to submit an approved Patch Management Process.</t>
  </si>
  <si>
    <t>(100%) Fully Compliant - Patch management process is defined, software updates and patches are tested on nonproduction prior environment production; 
(0%) No Compliance - No patch management process is defined, software updates and patches are tested on nonproduction environment production.</t>
  </si>
  <si>
    <t>(100%) Fully Compliant - Patch management process is defined, software updates and patches are tested on nonproduction prior environment production</t>
  </si>
  <si>
    <t>SCR 1.15</t>
  </si>
  <si>
    <r>
      <rPr>
        <b/>
        <sz val="9"/>
        <color rgb="FF000000"/>
        <rFont val="Arial"/>
        <family val="2"/>
      </rPr>
      <t>A</t>
    </r>
    <r>
      <rPr>
        <b/>
        <sz val="9"/>
        <color rgb="FF000000"/>
        <rFont val="Aptos Narrow"/>
        <family val="2"/>
        <scheme val="minor"/>
      </rPr>
      <t xml:space="preserve">pplication Security (AppSec) Tests
</t>
    </r>
    <r>
      <rPr>
        <sz val="9"/>
        <color rgb="FF000000"/>
        <rFont val="Aptos Narrow"/>
        <family val="2"/>
        <scheme val="minor"/>
      </rPr>
      <t>The Tenderer shall perform</t>
    </r>
    <r>
      <rPr>
        <b/>
        <sz val="9"/>
        <color rgb="FF000000"/>
        <rFont val="Aptos Narrow"/>
        <family val="2"/>
        <scheme val="minor"/>
      </rPr>
      <t xml:space="preserve"> </t>
    </r>
    <r>
      <rPr>
        <sz val="9"/>
        <color rgb="FF000000"/>
        <rFont val="Aptos Narrow"/>
        <family val="2"/>
        <scheme val="minor"/>
      </rPr>
      <t>static application security testing (SAST), and dynamic application security testing (DAST), vulnerability assessment, penetration test prior deploying the cloud system to production environments.</t>
    </r>
  </si>
  <si>
    <t>The Tenderer is required to submit the recent SAST, DAST, Vulnerability Assessment and Penetration Test Results.</t>
  </si>
  <si>
    <t>(100%) Fully comply with requirement - The Tenderer does perform SAST, DAST and Penetration Test (Test Results are required);
(0%) No compliance - The Tenderer does not perform SAST, DAST and Penetration Test.</t>
  </si>
  <si>
    <t>(100%) Fully comply with requirement - The Tenderer does perform SAST, DAST and Penetration Test (Test Results are required)</t>
  </si>
  <si>
    <t>SCR 1.16</t>
  </si>
  <si>
    <r>
      <rPr>
        <b/>
        <sz val="9"/>
        <color rgb="FF000000"/>
        <rFont val="Aptos Narrow"/>
        <family val="2"/>
        <scheme val="minor"/>
      </rPr>
      <t xml:space="preserve">POPIA Compliance
</t>
    </r>
    <r>
      <rPr>
        <sz val="9"/>
        <color rgb="FF000000"/>
        <rFont val="Aptos Narrow"/>
        <family val="2"/>
        <scheme val="minor"/>
      </rPr>
      <t>The Tenderer shall comply with applicable privacy and protection of personal information Acts such as General Data Protection Regulation (GDPR) in European Union (EU) and Protection of Personal Information Act (POPIA) in South Africa (SA) where the cloud service is hosted, where the data is collected and the region where the data subjects are physically located. If hosted in EU, the Tenderer shall confirm that the data of the natural and juristic persons personal Identifiable Information (PII) will be protected.</t>
    </r>
  </si>
  <si>
    <t>The Tenderer is required to submit the Privacy Policy.</t>
  </si>
  <si>
    <t>(100%) Fully Compliant- The tender does comply with both GDPR and POPIA where the cloud service is hosted and where the data subjects are hosted, tenderer provides the natural and juristic persons PII is protected; 
(0%) Non Compliance  - The tender does not comply with both GDPR and POPIA where the cloud service is hosted and where the data subjects are hosted, tenderer provides the natural and juristic persons PII is protected.</t>
  </si>
  <si>
    <t>(100%) Fully Compliant- The tender does comply with both GDPR and POPIA where the cloud service is hosted and where the data subjects are hosted, tenderer provides the natural and juristic persons PII is protected</t>
  </si>
  <si>
    <t>SCR 1.17</t>
  </si>
  <si>
    <r>
      <rPr>
        <b/>
        <sz val="9"/>
        <rFont val="Aptos Narrow"/>
        <family val="2"/>
        <scheme val="minor"/>
      </rPr>
      <t xml:space="preserve">Confidentiality or Privacy Policy
</t>
    </r>
    <r>
      <rPr>
        <sz val="9"/>
        <rFont val="Aptos Narrow"/>
        <family val="2"/>
        <scheme val="minor"/>
      </rPr>
      <t>The Tenderer shall have a confidentiality or privacy policy with regards to its employees, partners and subcontractors.</t>
    </r>
  </si>
  <si>
    <t>(100%) Fully comply with requirement - The Tender have confidentiality and privacy policy for employees, partners and subcontractor; 
(0%) No compliance - The Tender does not have confidentiality and privacy policy for employees, partners and subcontractor.</t>
  </si>
  <si>
    <t>(100%) Fully comply with requirement - The Tender have confidentiality and privacy policy for employees, partners and subcontractor</t>
  </si>
  <si>
    <t>SCR 1.18</t>
  </si>
  <si>
    <r>
      <rPr>
        <b/>
        <sz val="9"/>
        <color rgb="FF000000"/>
        <rFont val="Aptos Narrow"/>
        <family val="2"/>
        <scheme val="minor"/>
      </rPr>
      <t xml:space="preserve">Cyber or Data Breach Incident Notification
</t>
    </r>
    <r>
      <rPr>
        <sz val="9"/>
        <color rgb="FF000000"/>
        <rFont val="Aptos Narrow"/>
        <family val="2"/>
        <scheme val="minor"/>
      </rPr>
      <t>Tenderer shall have formal notification process to notify customers of cyber attack and data breach incidents. Please specify the service level agreement (SLA).</t>
    </r>
  </si>
  <si>
    <t>The Tenderer is required to submit a Cyber and Data Breach Incident Notification Process, Generic SaaS Contract and SLA that depicts that customers are indeed notified. An exact extract of the contract and SLA that depicts these requirements.</t>
  </si>
  <si>
    <t>(100%) Fully comply with requirement - The Tenderer does notify Eskom if there is cyber attack or data breaches and SLA is place; 
(0%) No compliance -  The Tenderer does not notify Eskom if there is cyber attack or data breaches and no SLA is place.</t>
  </si>
  <si>
    <t>(100%) Fully comply with requirement - The Tenderer does notify Eskom if there is cyber attack or data breaches and SLA is place</t>
  </si>
  <si>
    <t>SCR 1.19</t>
  </si>
  <si>
    <r>
      <rPr>
        <b/>
        <sz val="9"/>
        <color rgb="FF000000"/>
        <rFont val="Aptos Narrow"/>
        <family val="2"/>
        <scheme val="minor"/>
      </rPr>
      <t xml:space="preserve">Significant Changes Notification
</t>
    </r>
    <r>
      <rPr>
        <sz val="9"/>
        <color rgb="FF000000"/>
        <rFont val="Aptos Narrow"/>
        <family val="2"/>
        <scheme val="minor"/>
      </rPr>
      <t>The Tenderer shall notify Eskom if there are any significant changes to the business, platform and hosting service provider or any change that could have an impact the security assessment conducted and the auditor’s opinion on the SOC audit.
The Tenderer shall have 1 month, 6 months and 12 months SLA in place.</t>
    </r>
  </si>
  <si>
    <t>The Tenderer is required to submit a generic SaaS Contract and SLA. An Exact extract of the contract and SLA that depicts that customers are notified of significant changes.</t>
  </si>
  <si>
    <t>(100%) Fully comply with requirement - The Tender does notify Eskom if there are any significant changes to the business, platform and hosting service provider or any change that could have an impact the security assessment conducted and SLA is in place; 
(0%) No compliance - The tender does not notify Eskom if there are any significant changes to the business, platform and hosting service provider or any change that could have an impact the security assessment conducted and SLA is in place.</t>
  </si>
  <si>
    <t>(100%) Fully comply with requirement - The Tender does notify Eskom if there are any significant changes to the business, platform and hosting service provider or any change that could have an impact the security assessment conducted and SLA is in place</t>
  </si>
  <si>
    <t>SCR 1.20</t>
  </si>
  <si>
    <r>
      <rPr>
        <b/>
        <sz val="9"/>
        <color rgb="FF000000"/>
        <rFont val="Aptos Narrow"/>
        <family val="2"/>
        <scheme val="minor"/>
      </rPr>
      <t xml:space="preserve">Database Security Management
</t>
    </r>
    <r>
      <rPr>
        <sz val="9"/>
        <color rgb="FF000000"/>
        <rFont val="Aptos Narrow"/>
        <family val="2"/>
        <scheme val="minor"/>
      </rPr>
      <t xml:space="preserve"> 1. The Tenderer shall place the database behind the perimeter firewall.
2. The Tenderer shall employ database security management tool to provide regulatory compliance (Such as POPIA and GDPR), encryption, key management, granular access controls, flexible data masking, comprehensive activity monitoring, and sophisticated auditing capabilities.</t>
    </r>
  </si>
  <si>
    <t>The Tenderer is required to submit the OEM documentation, technical specification and design that depicts that the Databases are placed behind the Firewall, name of the Database Security Management Tool and Recent Results.</t>
  </si>
  <si>
    <t>(100%) Fully comply with requirement - The proposed solution does have Database Security Management Tool and Database is placed behind perimeter firewall; 
(0%) No compliance - The proposed solution does not have Database Security Management Tool and Database is placed behind perimeter firewall.</t>
  </si>
  <si>
    <t>(100%) Fully comply with requirement - The proposed solution does have Database Security Management Tool and Database is placed behind perimeter firewall</t>
  </si>
  <si>
    <t>SCR 1.21</t>
  </si>
  <si>
    <r>
      <rPr>
        <b/>
        <sz val="9"/>
        <color rgb="FF000000"/>
        <rFont val="Aptos Narrow"/>
        <family val="2"/>
        <scheme val="minor"/>
      </rPr>
      <t xml:space="preserve">Distributed Denial of Service (DDoS) Protection Mechanism
</t>
    </r>
    <r>
      <rPr>
        <sz val="9"/>
        <color rgb="FF000000"/>
        <rFont val="Aptos Narrow"/>
        <family val="2"/>
        <scheme val="minor"/>
      </rPr>
      <t>The proposed</t>
    </r>
    <r>
      <rPr>
        <b/>
        <sz val="9"/>
        <color rgb="FF000000"/>
        <rFont val="Aptos Narrow"/>
        <family val="2"/>
        <scheme val="minor"/>
      </rPr>
      <t xml:space="preserve"> </t>
    </r>
    <r>
      <rPr>
        <sz val="9"/>
        <color rgb="FF000000"/>
        <rFont val="Aptos Narrow"/>
        <family val="2"/>
        <scheme val="minor"/>
      </rPr>
      <t>SaaS solution shall employ DDoS protection mechanism.</t>
    </r>
  </si>
  <si>
    <t xml:space="preserve">The Tenderer is required to submit the OEM documentation, technical specification and design that depicts that DDoS is employed. </t>
  </si>
  <si>
    <t>(100%) Fully comply with requirement - The proposed solution does have DDoS protection mechanism; 
(0%) No compliance - The proposed solution does not have DDoS protection mechanism.</t>
  </si>
  <si>
    <t>(100%) Fully comply with requirement - The proposed solution does have DDoS protection mechanism</t>
  </si>
  <si>
    <t>SCR 1.22</t>
  </si>
  <si>
    <r>
      <rPr>
        <b/>
        <sz val="9"/>
        <color rgb="FF000000"/>
        <rFont val="Aptos Narrow"/>
        <family val="2"/>
        <scheme val="minor"/>
      </rPr>
      <t xml:space="preserve">Web Application Firewall (WAF)
</t>
    </r>
    <r>
      <rPr>
        <sz val="9"/>
        <color rgb="FF000000"/>
        <rFont val="Aptos Narrow"/>
        <family val="2"/>
        <scheme val="minor"/>
      </rPr>
      <t>The Tenderer shall employ</t>
    </r>
    <r>
      <rPr>
        <b/>
        <sz val="9"/>
        <color rgb="FF000000"/>
        <rFont val="Aptos Narrow"/>
        <family val="2"/>
        <scheme val="minor"/>
      </rPr>
      <t xml:space="preserve"> </t>
    </r>
    <r>
      <rPr>
        <sz val="9"/>
        <color rgb="FF000000"/>
        <rFont val="Aptos Narrow"/>
        <family val="2"/>
        <scheme val="minor"/>
      </rPr>
      <t>WAF for all internet facing applications and/or web-based applications.</t>
    </r>
  </si>
  <si>
    <t>The Tenderer is required to submit the OEM documentation, technical specification and design that depicts that WAF is employed.</t>
  </si>
  <si>
    <t>(100%) Fully comply with requirement -The proposed solution does employ WAF; 
(0%) No compliance - The proposed solution does not empoy WAF.</t>
  </si>
  <si>
    <t>(100%) Fully comply with requirement -The proposed solution does employ WAF</t>
  </si>
  <si>
    <t>SCR 1.23</t>
  </si>
  <si>
    <r>
      <rPr>
        <b/>
        <sz val="9"/>
        <color rgb="FF000000"/>
        <rFont val="Aptos Narrow"/>
        <family val="2"/>
        <scheme val="minor"/>
      </rPr>
      <t xml:space="preserve">Integration Security
</t>
    </r>
    <r>
      <rPr>
        <sz val="9"/>
        <color rgb="FF000000"/>
        <rFont val="Aptos Narrow"/>
        <family val="2"/>
        <scheme val="minor"/>
      </rPr>
      <t>The</t>
    </r>
    <r>
      <rPr>
        <b/>
        <sz val="9"/>
        <color rgb="FF000000"/>
        <rFont val="Aptos Narrow"/>
        <family val="2"/>
        <scheme val="minor"/>
      </rPr>
      <t xml:space="preserve"> </t>
    </r>
    <r>
      <rPr>
        <sz val="9"/>
        <color rgb="FF000000"/>
        <rFont val="Aptos Narrow"/>
        <family val="2"/>
        <scheme val="minor"/>
      </rPr>
      <t>proposed SaaS solution shall support the prevailing enterprise services bus (ESB), application programmable interfaces (API’s) and Integration Platform as a Service (iPaaS) platforms for security, logging and monitoring for both on-prem, hybrid-cloud and multi-cloud environments.</t>
    </r>
  </si>
  <si>
    <t xml:space="preserve">The Tenderer is required to submit the OEM documentation, technical specification and design that depicts that the solution supports the ESB, API and iPaaS stated on the requirements. </t>
  </si>
  <si>
    <t>(100%) Fully comply with requirement - The proposed solution does support ESB, API's and IPaaS for security, logging and monitoring;  
(0%) No compliance - The proposed solution does not support ESB, API's and IPaaS for security, logging and monitoring.</t>
  </si>
  <si>
    <t>(100%) Fully comply with requirement - The proposed solution does support ESB, API's and IPaaS for security, logging and monitoring</t>
  </si>
  <si>
    <t>SCR 1.24</t>
  </si>
  <si>
    <r>
      <rPr>
        <b/>
        <sz val="9"/>
        <color rgb="FF000000"/>
        <rFont val="Aptos Narrow"/>
        <family val="2"/>
        <scheme val="minor"/>
      </rPr>
      <t xml:space="preserve">e-Discovery
</t>
    </r>
    <r>
      <rPr>
        <sz val="9"/>
        <color rgb="FF000000"/>
        <rFont val="Aptos Narrow"/>
        <family val="2"/>
        <scheme val="minor"/>
      </rPr>
      <t>The proposed SaaS solution shall provide e-Discovery capability to identify, collect and produce electronically stored information (ESI) in response to a request for production in a lawsuit or investigation as part of the cloud services offered.</t>
    </r>
  </si>
  <si>
    <t>The Tenderer is required to submit the OEM documentation, technical specification and design that depicts that the solution provides e-Discovery capability.</t>
  </si>
  <si>
    <t>(100%) Fully comply with requirement - The proposed solution does have e-Discovery capability; 
(0%) No compliance - The proposed solution does not have e-Discovery capability.</t>
  </si>
  <si>
    <t>(100%) Fully comply with requirement - The proposed solution does have e-Discovery capability</t>
  </si>
  <si>
    <t>SCR 1.25</t>
  </si>
  <si>
    <r>
      <t xml:space="preserve">SIEM Integration 
</t>
    </r>
    <r>
      <rPr>
        <sz val="9"/>
        <color rgb="FF000000"/>
        <rFont val="Aptos Narrow"/>
        <family val="2"/>
        <scheme val="minor"/>
      </rPr>
      <t>The system shall be able to integrate with Security Information and Event Management (SIEM) standard technologies such as Syslog, Windows events logging, SNMP and API, etc.</t>
    </r>
  </si>
  <si>
    <t>The Tenderer is required to submit the OEM documentation, technical specification and design that depicts that the proposed solution is able to intergrate with SIEM standard</t>
  </si>
  <si>
    <t>(100%)System supports full integration with SIEM via standard protocols (Syslog, Windows Event Log, SNMP, API), and integration has been tested and confirmed;
(0%)  No SIEM integration capability present or enabled, logging is unsupported, disabled, or incompatible with enterprise SIEM tools.</t>
  </si>
  <si>
    <t>(100%)System supports full integration with SIEM via standard protocols (Syslog, Windows Event Log, SNMP, API), and integration has been tested and confirmed</t>
  </si>
  <si>
    <r>
      <t xml:space="preserve">Demonstration Brief - </t>
    </r>
    <r>
      <rPr>
        <sz val="8"/>
        <rFont val="Arial"/>
        <family val="2"/>
      </rPr>
      <t>Explain to the Vendor what must be included in their presentation</t>
    </r>
  </si>
  <si>
    <t>1. Extensive functionality available; 
2. Limited functionality available;
3. Functionality not available</t>
  </si>
  <si>
    <t xml:space="preserve">
3. Functionality not available</t>
  </si>
  <si>
    <t>SEC 1</t>
  </si>
  <si>
    <t>Demonstrate integration with Eskom's existing IdP's such as MS on-prem AD, MS Identity, MS Entra Identity and MFA</t>
  </si>
  <si>
    <t>(100%) Fully comply with requirement - The proposed solution does integrate with Eskom's MS AD and Entra ID to enable SSO and MFA; 
(0%) No compliance - The proposed solution is unable to integrate with MS AD, MDI, Entra ID and MFA.</t>
  </si>
  <si>
    <t xml:space="preserve">
(0%) No compliance - The proposed solution is unable to integrate with MS AD, MDI, Entra ID and MFA.</t>
  </si>
  <si>
    <t>SEC 2</t>
  </si>
  <si>
    <r>
      <rPr>
        <b/>
        <sz val="9"/>
        <color rgb="FF000000"/>
        <rFont val="Arial"/>
        <family val="2"/>
      </rPr>
      <t xml:space="preserve">RBAC
</t>
    </r>
    <r>
      <rPr>
        <sz val="9"/>
        <color rgb="FF000000"/>
        <rFont val="Arial"/>
        <family val="2"/>
      </rPr>
      <t>The proposed SaaS solution must support and employ RBAC mechanism.</t>
    </r>
  </si>
  <si>
    <t>Demonstrate that the solution has the ability to support and employ RBAC.</t>
  </si>
  <si>
    <t>(100%) Fully comply with requirement - The proposed solution does support and employ RBAC mechanism;
(0%) No compliance - The system does not support RBAC.</t>
  </si>
  <si>
    <t xml:space="preserve">
(0%) No compliance - The system does not support RBAC.</t>
  </si>
  <si>
    <t>SEC 3</t>
  </si>
  <si>
    <r>
      <rPr>
        <b/>
        <sz val="9"/>
        <color rgb="FF000000"/>
        <rFont val="Arial"/>
        <family val="2"/>
      </rPr>
      <t xml:space="preserve">Encryption Standard
</t>
    </r>
    <r>
      <rPr>
        <sz val="9"/>
        <color rgb="FF000000"/>
        <rFont val="Arial"/>
        <family val="2"/>
      </rPr>
      <t>The proposed SaaS solution shall encrypt data at rest using at minimum AES-256, in use and  in transit (or in motion) using at minimum TLS 1.3 or later version.</t>
    </r>
  </si>
  <si>
    <t>Demonstrate encryption of data at rest, in use and in transit (in motion).</t>
  </si>
  <si>
    <t>(100%) Fully comply with requirement - The proposed solution does encrypt data at rest (AES-256) and in transit (TLS 1.3 or later version);  
(0%) No compliance - The proposed solution does not encrypt data at rest (AES-256) and in transit (TLS 1.3 or later version)</t>
  </si>
  <si>
    <t xml:space="preserve">
(0%) No compliance - The proposed solution does not encrypt data at rest (AES-256) and in transit (TLS 1.3 or later version)</t>
  </si>
  <si>
    <t>SEC 4</t>
  </si>
  <si>
    <r>
      <rPr>
        <b/>
        <sz val="9"/>
        <rFont val="Arial"/>
        <family val="2"/>
      </rPr>
      <t>Audit Trails, Logs, User and Activity Logs</t>
    </r>
    <r>
      <rPr>
        <sz val="9"/>
        <rFont val="Arial"/>
        <family val="2"/>
      </rPr>
      <t xml:space="preserve">
The proposed SaaS solution shall have Audit trails, logs, user administration and user activity logs enabled, encrypted, and securely kept with limited access to administrators.</t>
    </r>
  </si>
  <si>
    <t>Demonstrate how Audit Trails, Logs, User and Activity Logs are enabled, encrypted and securely kept with limited acess to administrators.</t>
  </si>
  <si>
    <t xml:space="preserve">
(0%) No compliance - The proposed solution does not have Audit trails, logs, user administration and user activity logs shall be enabled, encrypted, and securely kept with limited access to administrators.</t>
  </si>
  <si>
    <t>SEC 5</t>
  </si>
  <si>
    <r>
      <rPr>
        <b/>
        <sz val="9"/>
        <color rgb="FF000000"/>
        <rFont val="Arial"/>
        <family val="2"/>
      </rPr>
      <t xml:space="preserve">Data Masking
</t>
    </r>
    <r>
      <rPr>
        <sz val="9"/>
        <color rgb="FF000000"/>
        <rFont val="Arial"/>
        <family val="2"/>
      </rPr>
      <t>Sensitive data such as PII shall be masked on the non-production environments to lessen exposure.</t>
    </r>
  </si>
  <si>
    <t>Demonstrate how sensitive data such as PII is masked.</t>
  </si>
  <si>
    <t>(100%) Fully comply with requirement - The proposed solution does mask PII on nonproduction environments; 
(0%) No compliance - The proposed solution does not mask PII on nonproduction environments.</t>
  </si>
  <si>
    <t xml:space="preserve">
(0%) No compliance - The proposed solution does not mask PII on nonproduction environments.</t>
  </si>
  <si>
    <t>SEC 6</t>
  </si>
  <si>
    <r>
      <rPr>
        <b/>
        <sz val="9"/>
        <color rgb="FF000000"/>
        <rFont val="Arial"/>
        <family val="2"/>
      </rPr>
      <t xml:space="preserve">DDoS Protection Mechanism
</t>
    </r>
    <r>
      <rPr>
        <sz val="9"/>
        <color rgb="FF000000"/>
        <rFont val="Arial"/>
        <family val="2"/>
      </rPr>
      <t>The proposed SaaS solution shall employ DDoS protection mechanism.</t>
    </r>
  </si>
  <si>
    <t>Demonstrate how DDoS Protection Mechanism is integrated with the proposed solution.</t>
  </si>
  <si>
    <t xml:space="preserve">
(0%) No compliance - The proposed solution does not have DDoS protection mechanism.</t>
  </si>
  <si>
    <t>SEC 7</t>
  </si>
  <si>
    <r>
      <rPr>
        <b/>
        <sz val="9"/>
        <color rgb="FF000000"/>
        <rFont val="Arial"/>
        <family val="2"/>
      </rPr>
      <t xml:space="preserve">e-Discovery
</t>
    </r>
    <r>
      <rPr>
        <sz val="9"/>
        <color rgb="FF000000"/>
        <rFont val="Arial"/>
        <family val="2"/>
      </rPr>
      <t>The proposed SaaS solution shall provide e-Discovery capability to identify, collect and produce electronically stored information (ESI) in response to a request for production in a lawsuit or investigation as part of the cloud services offered.</t>
    </r>
  </si>
  <si>
    <t>Demonstrate the solution has the e discovery capability.</t>
  </si>
  <si>
    <t xml:space="preserve">
(0%) No compliance - The proposed solution does not have e-Discovery capability.</t>
  </si>
  <si>
    <t>SEC 8</t>
  </si>
  <si>
    <r>
      <rPr>
        <b/>
        <sz val="9"/>
        <rFont val="Arial"/>
        <family val="2"/>
      </rPr>
      <t xml:space="preserve">Siem Intergration </t>
    </r>
    <r>
      <rPr>
        <sz val="9"/>
        <rFont val="Arial"/>
        <family val="2"/>
      </rPr>
      <t xml:space="preserve">
The system shall be able to integrate with SIEM standard technologies such as Syslog, Windows events logging, SNMP and API, etc.</t>
    </r>
  </si>
  <si>
    <t>Demonstate that the solution has the ability to integrate with SIEM such as Syslog, Windows events logging, SNMP and API, etc..</t>
  </si>
  <si>
    <t>(100%)System supports full integration with SIEM via standard protocols (Syslog, Windows Event Log, SNMP, API), and integration has been tested and confirmed; 
(0%)  No SIEM integration capability present or enabled - logging is unsupported, disabled, or incompatible with enterprise SIEM tools.</t>
  </si>
  <si>
    <t xml:space="preserve">
(0%) No SIEM integration capability present or enabled - logging is unsupported, disabled, or incompatible with enterprise SIEM tools.</t>
  </si>
  <si>
    <t>(EXAMPLE) Eskom requires an experienced supplier who has provided the work listed in the scope to other clients</t>
  </si>
  <si>
    <t>In your technical response list the clients to whom you have provided XX services to and dates the service was provided. Provide a reference letter from each client listed, each reference letter must have contact details for the clients in order to verify the information provided.</t>
  </si>
  <si>
    <t>Nice to have</t>
  </si>
  <si>
    <t>Compatible,
Incompatible</t>
  </si>
  <si>
    <t>Compatible</t>
  </si>
  <si>
    <t>Abbreviations</t>
  </si>
  <si>
    <t>AES</t>
  </si>
  <si>
    <t>Advanced Encryption Standard</t>
  </si>
  <si>
    <t>AI</t>
  </si>
  <si>
    <t>Artificial Intelligence</t>
  </si>
  <si>
    <t>API</t>
  </si>
  <si>
    <t>Application Programming Interface</t>
  </si>
  <si>
    <t>DAST</t>
  </si>
  <si>
    <t>Dynamic Application Security Testing</t>
  </si>
  <si>
    <t>DDoS</t>
  </si>
  <si>
    <t>Distributed Denial of Service</t>
  </si>
  <si>
    <t>DR</t>
  </si>
  <si>
    <t>Disaster Recovery</t>
  </si>
  <si>
    <t>DRP</t>
  </si>
  <si>
    <t>Disaster Recovery Plan</t>
  </si>
  <si>
    <t>ERP</t>
  </si>
  <si>
    <t>Enterprise Resource Planning</t>
  </si>
  <si>
    <t>ESB</t>
  </si>
  <si>
    <t>Enterprise Services Bus</t>
  </si>
  <si>
    <t>ESI</t>
  </si>
  <si>
    <t>Electronically Stored Information</t>
  </si>
  <si>
    <t>EU</t>
  </si>
  <si>
    <t>European Union</t>
  </si>
  <si>
    <t>GDPR</t>
  </si>
  <si>
    <t>General Data Protection Regulation</t>
  </si>
  <si>
    <t>IdP</t>
  </si>
  <si>
    <t>Identity Provider</t>
  </si>
  <si>
    <t>IRM</t>
  </si>
  <si>
    <t>Incident Response Management</t>
  </si>
  <si>
    <t>iPaaS</t>
  </si>
  <si>
    <t>Integration Platform as a Service</t>
  </si>
  <si>
    <t>ISO</t>
  </si>
  <si>
    <t>International Organization for Standardization</t>
  </si>
  <si>
    <t>ML</t>
  </si>
  <si>
    <t>Machine Learning</t>
  </si>
  <si>
    <t>MSA</t>
  </si>
  <si>
    <t>Master Service Agreement</t>
  </si>
  <si>
    <t>Oauth</t>
  </si>
  <si>
    <t>Open Authorization</t>
  </si>
  <si>
    <t>OEM</t>
  </si>
  <si>
    <t>Original Equipment Manufacturer</t>
  </si>
  <si>
    <t>PII</t>
  </si>
  <si>
    <t>Personal Identifiable Information</t>
  </si>
  <si>
    <t>POPIA</t>
  </si>
  <si>
    <t>Protection of Personal Information Act</t>
  </si>
  <si>
    <t>RBAC</t>
  </si>
  <si>
    <t>Role-Based Access Control</t>
  </si>
  <si>
    <t>REST API</t>
  </si>
  <si>
    <t>Representational State Transfer Application Programming Interface</t>
  </si>
  <si>
    <t>RPA</t>
  </si>
  <si>
    <t>Robotic Process Automation</t>
  </si>
  <si>
    <t>RPO</t>
  </si>
  <si>
    <t>Recovery Point Objective</t>
  </si>
  <si>
    <t>RTO</t>
  </si>
  <si>
    <t>Recovery Time Objective</t>
  </si>
  <si>
    <t>SA</t>
  </si>
  <si>
    <t>South Africa</t>
  </si>
  <si>
    <t>SaaS</t>
  </si>
  <si>
    <t>Software as a Service</t>
  </si>
  <si>
    <t>SAML</t>
  </si>
  <si>
    <t>Security Assertion Markup Language</t>
  </si>
  <si>
    <t>SAST</t>
  </si>
  <si>
    <t>Static Application Security Testing</t>
  </si>
  <si>
    <t>SFTP</t>
  </si>
  <si>
    <t>Secure File Transfer Protocol</t>
  </si>
  <si>
    <t>SHA</t>
  </si>
  <si>
    <t>Secure Hash Algorithm</t>
  </si>
  <si>
    <t>SIEM</t>
  </si>
  <si>
    <t>Security Information and Event Management</t>
  </si>
  <si>
    <t>SLA</t>
  </si>
  <si>
    <t>Service Level Agreement</t>
  </si>
  <si>
    <t>SMS</t>
  </si>
  <si>
    <t>Short Message Service</t>
  </si>
  <si>
    <t>SNMP</t>
  </si>
  <si>
    <t>Simple Network Management Protocol</t>
  </si>
  <si>
    <t>SOAP</t>
  </si>
  <si>
    <t>Simple Object Access Protocol</t>
  </si>
  <si>
    <t>SOC</t>
  </si>
  <si>
    <t>System and Organization Controls</t>
  </si>
  <si>
    <t>SSL</t>
  </si>
  <si>
    <t>Secure Sockets Layer</t>
  </si>
  <si>
    <t>TLS</t>
  </si>
  <si>
    <t>Transport Layer Security</t>
  </si>
  <si>
    <t>WAF</t>
  </si>
  <si>
    <t>Web Application Firewall</t>
  </si>
  <si>
    <t>Definitions</t>
  </si>
  <si>
    <t>Eskom Group Technology: 
Technical Evaluation Criteria
GATEKEEPER CRITERIA</t>
  </si>
  <si>
    <t>GateKeeper Requirements</t>
  </si>
  <si>
    <r>
      <t xml:space="preserve">Mandatory Returnables - </t>
    </r>
    <r>
      <rPr>
        <sz val="8"/>
        <rFont val="Arial"/>
        <family val="2"/>
      </rPr>
      <t>Evidence below to be provided in the technical file and numbered to align with each criteria question.</t>
    </r>
    <r>
      <rPr>
        <b/>
        <sz val="8"/>
        <rFont val="Arial"/>
        <family val="2"/>
      </rPr>
      <t xml:space="preserve"> </t>
    </r>
  </si>
  <si>
    <r>
      <t xml:space="preserve">Vendor Response: </t>
    </r>
    <r>
      <rPr>
        <sz val="8"/>
        <rFont val="Arial"/>
        <family val="2"/>
      </rPr>
      <t>Vendor to provide answer the questions below and provide detail in their tender submission</t>
    </r>
  </si>
  <si>
    <r>
      <t xml:space="preserve">Vendor Evidence: </t>
    </r>
    <r>
      <rPr>
        <sz val="8"/>
        <rFont val="Arial"/>
        <family val="2"/>
      </rPr>
      <t>Location of Supporting Document/detailed response in your tender submission (state the file number, section &amp; page number)</t>
    </r>
  </si>
  <si>
    <t>Scoring</t>
  </si>
  <si>
    <t>Fail</t>
  </si>
  <si>
    <t>Main1</t>
  </si>
  <si>
    <t>10 or more clients,
4-7 clients,
3 or less clients.</t>
  </si>
  <si>
    <t xml:space="preserve">
3 or less clients.</t>
  </si>
  <si>
    <t>INSERTED LINE</t>
  </si>
  <si>
    <t>meet</t>
  </si>
  <si>
    <t>pg11, para 2</t>
  </si>
  <si>
    <t>Yes,
No</t>
  </si>
  <si>
    <t xml:space="preserve">
No</t>
  </si>
  <si>
    <t>5,4,3,2,1</t>
  </si>
  <si>
    <t>new line</t>
  </si>
  <si>
    <t>fully meet</t>
  </si>
  <si>
    <t>page 3</t>
  </si>
  <si>
    <t>op1,
op2,
op3,
op4,
op5</t>
  </si>
  <si>
    <t xml:space="preserve">
op5</t>
  </si>
  <si>
    <t>another</t>
  </si>
  <si>
    <t>Main2</t>
  </si>
  <si>
    <t>pg.7 para3</t>
  </si>
  <si>
    <t>A,
B,
C,
D</t>
  </si>
  <si>
    <t>A</t>
  </si>
  <si>
    <t>appended line</t>
  </si>
  <si>
    <t>Appendix A</t>
  </si>
  <si>
    <t>pp.13, para.6</t>
  </si>
  <si>
    <t>Yes</t>
  </si>
  <si>
    <t>new append test</t>
  </si>
  <si>
    <t>Appendix C</t>
  </si>
  <si>
    <t>p.14, para.1</t>
  </si>
  <si>
    <t>new row validation check</t>
  </si>
  <si>
    <t>AppendixD</t>
  </si>
  <si>
    <t>waga waga</t>
  </si>
  <si>
    <t>booga booga</t>
  </si>
  <si>
    <t>X,
Y,
Z</t>
  </si>
  <si>
    <t>X</t>
  </si>
  <si>
    <t>piuin</t>
  </si>
  <si>
    <t>pyout</t>
  </si>
  <si>
    <t>oi[oi</t>
  </si>
  <si>
    <t>iytf</t>
  </si>
  <si>
    <t>K,
L,
M</t>
  </si>
  <si>
    <t xml:space="preserve">
L</t>
  </si>
  <si>
    <t>t,
s,
w</t>
  </si>
  <si>
    <t>t</t>
  </si>
  <si>
    <t xml:space="preserve">
C</t>
  </si>
  <si>
    <t>hljvjhlhj</t>
  </si>
  <si>
    <t>ljhjhjh</t>
  </si>
  <si>
    <t>ljhhjh</t>
  </si>
  <si>
    <t>jhvjhjh</t>
  </si>
  <si>
    <t>3,2,1</t>
  </si>
  <si>
    <t>rtyhj</t>
  </si>
  <si>
    <t>ertghjrth</t>
  </si>
  <si>
    <t>ety</t>
  </si>
  <si>
    <t>whe,</t>
  </si>
  <si>
    <t>M,N,P</t>
  </si>
  <si>
    <t>M</t>
  </si>
  <si>
    <t>hljhljhbjhb</t>
  </si>
  <si>
    <t>hbljhbjhbj</t>
  </si>
  <si>
    <t>jhbhjhb</t>
  </si>
  <si>
    <t>Y,N</t>
  </si>
  <si>
    <t>Y</t>
  </si>
  <si>
    <t>oijh</t>
  </si>
  <si>
    <t>uygf</t>
  </si>
  <si>
    <t>dfvb</t>
  </si>
  <si>
    <t>hjm,</t>
  </si>
  <si>
    <t>X,Y,Z,A</t>
  </si>
  <si>
    <t>APPENDED</t>
  </si>
  <si>
    <t>uucutc</t>
  </si>
  <si>
    <t>cutcut</t>
  </si>
  <si>
    <t>utcutc</t>
  </si>
  <si>
    <t>A,B,X,Y</t>
  </si>
  <si>
    <t>B</t>
  </si>
  <si>
    <t>Appended ten option</t>
  </si>
  <si>
    <t>fgm</t>
  </si>
  <si>
    <t>jvl</t>
  </si>
  <si>
    <t>lvlv</t>
  </si>
  <si>
    <t>10,9,8,7,6,5,4,3,2,1,0</t>
  </si>
  <si>
    <t xml:space="preserve">Can you provide the required detail to the Eskom Integration Team to enable the design of the end-to-end solution and work closely with Eskom’s Integration team during implementation? </t>
  </si>
  <si>
    <t>100%: Fully comply with requirement</t>
  </si>
  <si>
    <t>Provide the Technical Proposal, Data Sheet and Technical specification or confirmation from the OEM on capability.
API based integration is:
1. Delivered out of the box / std functionality
2. Delivered via a 3rd party OR customization
3. Not currently supported or no detail provide</t>
  </si>
  <si>
    <t>1. Delivered out of the box / std functionality</t>
  </si>
  <si>
    <t>Can you provide input to the Analysis, Design, Message Modelling, Unit testing, SIT testing, UAT testing and Non-Functional testing to the Eskom Integration team during implementation?</t>
  </si>
  <si>
    <t>Provide the Technical Proposal, Data Sheet and Technical specification or confirmation.
1. Fully comply with requirement,
2. No details provided or Tenderer does not fully comply with the requirements</t>
  </si>
  <si>
    <t>Eskom requires the vendor to have previous experience  in the implementation of integration solutions where the product has the capability to expose services for the Middleware communication 
e.g SOAP, REST Services</t>
  </si>
  <si>
    <t>Eskom requires the vendor to provide the message structure  capabilities of the proposed solution. Respond to the detail below
What is the structure of the message that will be published and subscribed? Can the Solution handle a Integration a Common Information Message (CIM) or they can only send a proprietory message structure? (Proprietory – Applications own business service message structure)</t>
  </si>
  <si>
    <t xml:space="preserve">Provide the Technical Proposal, Data Sheet and Technical specification or confirmation from the OEM on capability.
Message strucutre integration protocols is:
1. Common Information Message (CIM) structure usage is possible
2. Proprietory - Own application message structure only usage
3. Not currently supported or no detail provide
</t>
  </si>
  <si>
    <t>1: Fully comply with requirement</t>
  </si>
  <si>
    <t>Provide the Technical Proposal, Data Sheet and Technical specification or confirmation from the OEM on capability.
communication as services is:
100%: Fully comply with requirement,
0%:    No details provided or Tenderer does not fully comply with the requirements.</t>
  </si>
  <si>
    <t>Provide the Technical Proposal, Data Sheet and Technical specification or confirmation.
communication as services is:
100%: Fully comply with requirement,
0%:    No details provided or Tenderer does not fully comply with the requirements.</t>
  </si>
  <si>
    <t>Provide the Technical Proposal, Data Sheet and Technical specification or confirmation from the OEM on capability.
web services, REST API and SOAP integration protocols is:
1. Delivered out of the box / std functionality
2. Delivered via a 3rd party OR customization
3. Not currently supported or no detail provide</t>
  </si>
  <si>
    <t xml:space="preserve">Provide the Technical Proposal, Data Sheet and Technical specification or confirmation from the OEM on capability.
API based integration is:
1. Delivered out of the box / std functionality
2. Delivered via a 3rd party OR customization
3. Not currently supported
</t>
  </si>
  <si>
    <t>INT9</t>
  </si>
  <si>
    <t>INT10</t>
  </si>
  <si>
    <t xml:space="preserve">Provide the Technical Proposal, Data Sheet and Technical specification or confirmation from the OEM on capability.
Application business services that can communicate via one-way or two-way certificate (SSL/TLS) to secure the channel is:
1. Delivered out of the box / std functionality
2. Delivered via a 3rd party OR customization
3. Not currently supported
</t>
  </si>
  <si>
    <t xml:space="preserve">Provide the Technical Proposal, Data Sheet and Technical specification or confirmation from the OEM on capability.
Application business services that support basic authentication for web services, database or SFTP for authentication security is:
1. Delivered out of the box / std functionality
2. Delivered via a 3rd party OR customization
3. Not currently supported or no detail provide
</t>
  </si>
  <si>
    <t>1: Fully comply with requirement,
2: Partially comply.Proprietory message structure),
3:  No details provided or Tenderer does not comply with the requirements</t>
  </si>
  <si>
    <t>100%: Fully comply with requirement,
0%:     No details provided or Tenderer does not fully comply with the requirements.</t>
  </si>
  <si>
    <t>1. Functionality is delivered out of the box / std functionality,
2. Functionality is delivered via a 3rd party OR customization,
3. Functionality Not currently supported or no detail provide.</t>
  </si>
  <si>
    <t>1. Delivered out of the box / std functionality,
2. Delivered via a 3rd party OR customization,
3. Not currently supported or no detail provide.</t>
  </si>
  <si>
    <t>INT11</t>
  </si>
  <si>
    <t>INT12</t>
  </si>
  <si>
    <t>Eskom requires the solution to be able to manage instances where the same record is publish multiple time, and not create duplicates.</t>
  </si>
  <si>
    <t>Eskom requires the solution to have the 90th percentile transaction response time for 200 concurrent users to be less or equal to 3 seconds.</t>
  </si>
  <si>
    <t>In your technical response, please provide performance testing results for 90th percentile transaction response time for 200 concurrent users.</t>
  </si>
  <si>
    <t>Eskom requires the solution to support average throughput for 200 concurrent users to be 142000 bytes / sec or more.</t>
  </si>
  <si>
    <t>In your technical response, please provide performance testing results/reports average throughput bytes / sec for 200 concurrent users.</t>
  </si>
  <si>
    <t xml:space="preserve">Eskom requires the solution to have an average hit rate greater than 114 hits / sec for 200 concurrent users. </t>
  </si>
  <si>
    <t>In your technical response, please provide performance testing results/reports for average hits per second for 200 concurrent users.</t>
  </si>
  <si>
    <t xml:space="preserve">Eskom requires the solution to be able to handle 200 concurrent users. </t>
  </si>
  <si>
    <t>100= 90th percentile transaction response time for 200 concurrent users &lt;= 3 seconds,
50= 90th percentile transaction response time for 200 concurrent users &gt;= 4 seconds, 
0%:     No report</t>
  </si>
  <si>
    <t>100= Average throughput for 200 concurrent users &gt;= 142000 bytes / sec,
50= Average throughput for 200 concurrent users &gt;= 71000 and &lt; 142000 bytes / sec, 
0 = Average throughput for 200 concurrent users &lt; 71000 bytes / sec</t>
  </si>
  <si>
    <t>100=Solution supports &gt;= 200 concurrent users,
50= Solution supports &lt; 200 concurrent users, 
0 = No performance testing results received</t>
  </si>
  <si>
    <t>100= 90th percentile transaction response time for 200 concurrent users &lt;= 3 seconds</t>
  </si>
  <si>
    <t>100= Average throughput for 200 concurrent users &gt;= 142000 bytes / sec</t>
  </si>
  <si>
    <t>100=Solution supports &gt;= 200 concurrent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</si>
</sst>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x14ac:knownFonts="1">
    <font>
      <sz val="11"/>
      <color theme="1"/>
      <name val="Aptos Narrow"/>
      <family val="2"/>
      <scheme val="minor"/>
    </font>
    <font>
      <sz val="11"/>
      <color theme="1"/>
      <name val="Aptos Narrow"/>
      <family val="2"/>
      <scheme val="minor"/>
    </font>
    <font>
      <b/>
      <sz val="9"/>
      <color indexed="81"/>
      <name val="Tahoma"/>
      <family val="2"/>
    </font>
    <font>
      <sz val="9"/>
      <color indexed="81"/>
      <name val="Tahoma"/>
      <family val="2"/>
    </font>
    <font>
      <sz val="8"/>
      <name val="Aptos Narrow"/>
      <family val="2"/>
      <scheme val="minor"/>
    </font>
    <font>
      <b/>
      <sz val="9"/>
      <color theme="1"/>
      <name val="Arial"/>
      <family val="2"/>
    </font>
    <font>
      <sz val="9"/>
      <color theme="1"/>
      <name val="Arial"/>
      <family val="2"/>
    </font>
    <font>
      <b/>
      <sz val="9"/>
      <name val="Arial"/>
      <family val="2"/>
    </font>
    <font>
      <sz val="9"/>
      <name val="Arial"/>
      <family val="2"/>
    </font>
    <font>
      <sz val="9"/>
      <color rgb="FF002060"/>
      <name val="Arial"/>
      <family val="2"/>
    </font>
    <font>
      <b/>
      <sz val="8"/>
      <color theme="1"/>
      <name val="Arial"/>
      <family val="2"/>
    </font>
    <font>
      <b/>
      <u/>
      <sz val="12"/>
      <color theme="1"/>
      <name val="Arial"/>
      <family val="2"/>
    </font>
    <font>
      <b/>
      <u/>
      <sz val="12"/>
      <color rgb="FFFF0000"/>
      <name val="Arial"/>
      <family val="2"/>
    </font>
    <font>
      <sz val="8"/>
      <color theme="1"/>
      <name val="Arial"/>
      <family val="2"/>
    </font>
    <font>
      <b/>
      <u/>
      <sz val="14"/>
      <color theme="1"/>
      <name val="Arial"/>
      <family val="2"/>
    </font>
    <font>
      <sz val="12"/>
      <color theme="1"/>
      <name val="Arial"/>
      <family val="2"/>
    </font>
    <font>
      <sz val="11"/>
      <color theme="1"/>
      <name val="Arial"/>
      <family val="2"/>
    </font>
    <font>
      <sz val="11"/>
      <color rgb="FFFF0000"/>
      <name val="Arial"/>
      <family val="2"/>
    </font>
    <font>
      <b/>
      <u/>
      <sz val="10"/>
      <color theme="1"/>
      <name val="Arial"/>
      <family val="2"/>
    </font>
    <font>
      <b/>
      <u/>
      <sz val="8"/>
      <color theme="1"/>
      <name val="Arial"/>
      <family val="2"/>
    </font>
    <font>
      <i/>
      <sz val="8"/>
      <color theme="1"/>
      <name val="Arial"/>
      <family val="2"/>
    </font>
    <font>
      <b/>
      <sz val="8"/>
      <name val="Arial"/>
      <family val="2"/>
    </font>
    <font>
      <i/>
      <sz val="8"/>
      <name val="Arial"/>
      <family val="2"/>
    </font>
    <font>
      <sz val="8"/>
      <name val="Arial"/>
      <family val="2"/>
    </font>
    <font>
      <sz val="11"/>
      <color indexed="8"/>
      <name val="Arial"/>
      <family val="2"/>
    </font>
    <font>
      <b/>
      <sz val="16"/>
      <color rgb="FFC00000"/>
      <name val="Arial"/>
      <family val="2"/>
    </font>
    <font>
      <sz val="12"/>
      <color indexed="8"/>
      <name val="Arial"/>
      <family val="2"/>
    </font>
    <font>
      <b/>
      <sz val="12"/>
      <color indexed="8"/>
      <name val="Arial"/>
      <family val="2"/>
    </font>
    <font>
      <b/>
      <sz val="11"/>
      <color indexed="8"/>
      <name val="Arial"/>
      <family val="2"/>
    </font>
    <font>
      <b/>
      <u/>
      <sz val="11"/>
      <color rgb="FFC00000"/>
      <name val="Arial"/>
      <family val="2"/>
    </font>
    <font>
      <sz val="11"/>
      <color rgb="FF000000"/>
      <name val="Arial"/>
      <family val="2"/>
    </font>
    <font>
      <b/>
      <sz val="11"/>
      <color theme="1"/>
      <name val="Arial"/>
      <family val="2"/>
    </font>
    <font>
      <b/>
      <sz val="12"/>
      <name val="Arial"/>
      <family val="2"/>
    </font>
    <font>
      <sz val="12"/>
      <color rgb="FF000000"/>
      <name val="Arial"/>
      <family val="2"/>
    </font>
    <font>
      <b/>
      <sz val="12"/>
      <color theme="1"/>
      <name val="Arial"/>
      <family val="2"/>
    </font>
    <font>
      <b/>
      <sz val="12"/>
      <color theme="1"/>
      <name val="Aptos Narrow"/>
      <family val="2"/>
      <scheme val="minor"/>
    </font>
    <font>
      <b/>
      <sz val="11"/>
      <name val="Arial"/>
      <family val="2"/>
    </font>
    <font>
      <b/>
      <u/>
      <sz val="12"/>
      <color rgb="FFC00000"/>
      <name val="Arial"/>
      <family val="2"/>
    </font>
    <font>
      <i/>
      <sz val="12"/>
      <name val="Arial"/>
      <family val="2"/>
    </font>
    <font>
      <b/>
      <i/>
      <sz val="12"/>
      <color indexed="8"/>
      <name val="Arial"/>
      <family val="2"/>
    </font>
    <font>
      <i/>
      <sz val="12"/>
      <color theme="1"/>
      <name val="Arial"/>
      <family val="2"/>
    </font>
    <font>
      <b/>
      <sz val="9"/>
      <color theme="0"/>
      <name val="Arial"/>
      <family val="2"/>
    </font>
    <font>
      <i/>
      <sz val="11"/>
      <color rgb="FF0000CC"/>
      <name val="Arial"/>
      <family val="2"/>
    </font>
    <font>
      <sz val="12"/>
      <color rgb="FF0000CC"/>
      <name val="Arial"/>
      <family val="2"/>
    </font>
    <font>
      <b/>
      <u/>
      <sz val="9"/>
      <color theme="1"/>
      <name val="Arial"/>
      <family val="2"/>
    </font>
    <font>
      <sz val="12"/>
      <color theme="1"/>
      <name val="Aptos Narrow"/>
      <family val="2"/>
      <scheme val="minor"/>
    </font>
    <font>
      <sz val="9"/>
      <color rgb="FF000000"/>
      <name val="Aptos Narrow"/>
      <family val="2"/>
      <scheme val="minor"/>
    </font>
    <font>
      <b/>
      <sz val="9"/>
      <color rgb="FF000000"/>
      <name val="Aptos Narrow"/>
      <family val="2"/>
      <scheme val="minor"/>
    </font>
    <font>
      <sz val="9"/>
      <color rgb="FF000000"/>
      <name val="Calibri"/>
      <family val="2"/>
    </font>
    <font>
      <b/>
      <sz val="9"/>
      <color rgb="FF000000"/>
      <name val="Calibri"/>
      <family val="2"/>
    </font>
    <font>
      <sz val="9"/>
      <color rgb="FF000000"/>
      <name val="Arial"/>
      <family val="2"/>
    </font>
    <font>
      <b/>
      <sz val="9"/>
      <color rgb="FF000000"/>
      <name val="Arial"/>
      <family val="2"/>
    </font>
    <font>
      <sz val="9"/>
      <name val="Aptos Narrow"/>
      <family val="2"/>
      <scheme val="minor"/>
    </font>
    <font>
      <b/>
      <sz val="9"/>
      <name val="Aptos Narrow"/>
      <family val="2"/>
      <scheme val="minor"/>
    </font>
  </fonts>
  <fills count="28">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99FF99"/>
        <bgColor indexed="64"/>
      </patternFill>
    </fill>
    <fill>
      <patternFill patternType="solid">
        <fgColor rgb="FF96330F"/>
        <bgColor indexed="64"/>
      </patternFill>
    </fill>
    <fill>
      <patternFill patternType="solid">
        <fgColor rgb="FFFFFF00"/>
        <bgColor indexed="64"/>
      </patternFill>
    </fill>
    <fill>
      <patternFill patternType="solid">
        <fgColor rgb="FF598787"/>
        <bgColor indexed="64"/>
      </patternFill>
    </fill>
    <fill>
      <patternFill patternType="solid">
        <fgColor rgb="FF003896"/>
        <bgColor indexed="64"/>
      </patternFill>
    </fill>
    <fill>
      <patternFill patternType="solid">
        <fgColor rgb="FF0DB02B"/>
        <bgColor indexed="64"/>
      </patternFill>
    </fill>
    <fill>
      <patternFill patternType="solid">
        <fgColor rgb="FF71725B"/>
        <bgColor indexed="64"/>
      </patternFill>
    </fill>
    <fill>
      <patternFill patternType="solid">
        <fgColor theme="0"/>
        <bgColor indexed="64"/>
      </patternFill>
    </fill>
    <fill>
      <patternFill patternType="solid">
        <fgColor rgb="FF22A2A8"/>
        <bgColor indexed="64"/>
      </patternFill>
    </fill>
    <fill>
      <patternFill patternType="solid">
        <fgColor rgb="FFC97A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5" tint="-0.249977111117893"/>
        <bgColor indexed="64"/>
      </patternFill>
    </fill>
    <fill>
      <patternFill patternType="solid">
        <fgColor theme="4" tint="0.79998168889431442"/>
        <bgColor theme="4" tint="0.79998168889431442"/>
      </patternFill>
    </fill>
    <fill>
      <patternFill patternType="solid">
        <fgColor theme="4"/>
        <bgColor theme="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rgb="FF000000"/>
      </left>
      <right/>
      <top style="thin">
        <color rgb="FF000000"/>
      </top>
      <bottom/>
      <diagonal/>
    </border>
    <border>
      <left style="thin">
        <color indexed="64"/>
      </left>
      <right/>
      <top style="thin">
        <color rgb="FF000000"/>
      </top>
      <bottom/>
      <diagonal/>
    </border>
    <border>
      <left style="thin">
        <color rgb="FF000000"/>
      </left>
      <right/>
      <top style="thin">
        <color indexed="64"/>
      </top>
      <bottom/>
      <diagonal/>
    </border>
    <border>
      <left style="thin">
        <color indexed="64"/>
      </left>
      <right/>
      <top style="medium">
        <color indexed="64"/>
      </top>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rgb="FF000000"/>
      </bottom>
      <diagonal/>
    </border>
  </borders>
  <cellStyleXfs count="2">
    <xf numFmtId="0" fontId="0" fillId="0" borderId="0"/>
    <xf numFmtId="9" fontId="1" fillId="0" borderId="0" applyFont="0" applyFill="0" applyBorder="0" applyAlignment="0" applyProtection="0"/>
  </cellStyleXfs>
  <cellXfs count="313">
    <xf numFmtId="0" fontId="0" fillId="0" borderId="0" xfId="0"/>
    <xf numFmtId="10" fontId="5" fillId="5" borderId="2" xfId="0" applyNumberFormat="1" applyFont="1" applyFill="1" applyBorder="1" applyAlignment="1">
      <alignment horizontal="centerContinuous" vertical="center"/>
    </xf>
    <xf numFmtId="1" fontId="5" fillId="5" borderId="3" xfId="0" applyNumberFormat="1" applyFont="1" applyFill="1" applyBorder="1" applyAlignment="1">
      <alignment horizontal="centerContinuous" vertical="center"/>
    </xf>
    <xf numFmtId="10" fontId="5" fillId="5" borderId="3" xfId="0" applyNumberFormat="1" applyFont="1" applyFill="1" applyBorder="1" applyAlignment="1">
      <alignment horizontal="centerContinuous" vertical="center"/>
    </xf>
    <xf numFmtId="10" fontId="5" fillId="5" borderId="3" xfId="0" applyNumberFormat="1" applyFont="1" applyFill="1" applyBorder="1" applyAlignment="1">
      <alignment horizontal="center" vertical="center"/>
    </xf>
    <xf numFmtId="10" fontId="5" fillId="5" borderId="4" xfId="0" applyNumberFormat="1" applyFont="1" applyFill="1" applyBorder="1" applyAlignment="1">
      <alignment vertical="center"/>
    </xf>
    <xf numFmtId="0" fontId="6" fillId="0" borderId="0" xfId="0" applyFont="1"/>
    <xf numFmtId="0" fontId="5" fillId="5" borderId="6" xfId="0" applyFont="1" applyFill="1" applyBorder="1" applyAlignment="1">
      <alignment vertical="center"/>
    </xf>
    <xf numFmtId="9" fontId="6" fillId="2" borderId="6" xfId="0" applyNumberFormat="1" applyFont="1" applyFill="1" applyBorder="1" applyAlignment="1">
      <alignment vertical="center"/>
    </xf>
    <xf numFmtId="0" fontId="5" fillId="5" borderId="6" xfId="0" applyFont="1" applyFill="1" applyBorder="1" applyAlignment="1">
      <alignment horizontal="right" vertical="center"/>
    </xf>
    <xf numFmtId="1" fontId="5" fillId="2" borderId="7" xfId="0" applyNumberFormat="1" applyFont="1" applyFill="1" applyBorder="1" applyAlignment="1">
      <alignment vertical="center"/>
    </xf>
    <xf numFmtId="0" fontId="5" fillId="2" borderId="8" xfId="0" applyFont="1" applyFill="1" applyBorder="1" applyAlignment="1">
      <alignment vertical="center" textRotation="90"/>
    </xf>
    <xf numFmtId="49" fontId="7" fillId="6" borderId="7" xfId="0" applyNumberFormat="1" applyFont="1" applyFill="1" applyBorder="1" applyAlignment="1">
      <alignment vertical="top" wrapText="1"/>
    </xf>
    <xf numFmtId="0" fontId="7" fillId="6" borderId="7" xfId="0" applyFont="1" applyFill="1" applyBorder="1" applyAlignment="1">
      <alignment vertical="top" wrapText="1"/>
    </xf>
    <xf numFmtId="0" fontId="7" fillId="7" borderId="7" xfId="0" applyFont="1" applyFill="1" applyBorder="1" applyAlignment="1">
      <alignment vertical="top" wrapText="1"/>
    </xf>
    <xf numFmtId="0" fontId="7" fillId="8" borderId="7" xfId="0" applyFont="1" applyFill="1" applyBorder="1" applyAlignment="1">
      <alignment vertical="center" wrapText="1"/>
    </xf>
    <xf numFmtId="10" fontId="7" fillId="2"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6" fillId="9" borderId="7" xfId="0" applyFont="1" applyFill="1" applyBorder="1"/>
    <xf numFmtId="0" fontId="6" fillId="0" borderId="7" xfId="0" applyFont="1" applyBorder="1"/>
    <xf numFmtId="0" fontId="6" fillId="0" borderId="4" xfId="0" applyFont="1" applyBorder="1" applyAlignment="1" applyProtection="1">
      <alignment horizontal="center" vertical="center"/>
      <protection locked="0"/>
    </xf>
    <xf numFmtId="0" fontId="6" fillId="0" borderId="1" xfId="0" applyFont="1" applyBorder="1" applyAlignment="1" applyProtection="1">
      <alignment horizontal="left" vertical="top" wrapText="1"/>
      <protection locked="0"/>
    </xf>
    <xf numFmtId="0" fontId="9" fillId="0" borderId="1" xfId="0" applyFont="1" applyBorder="1" applyAlignment="1" applyProtection="1">
      <alignment horizontal="center" vertical="center"/>
      <protection locked="0"/>
    </xf>
    <xf numFmtId="0" fontId="9" fillId="0" borderId="1" xfId="0" applyFont="1" applyBorder="1" applyAlignment="1">
      <alignment horizontal="center" vertical="center"/>
    </xf>
    <xf numFmtId="10" fontId="9" fillId="0" borderId="1" xfId="1" applyNumberFormat="1" applyFont="1" applyBorder="1" applyAlignment="1">
      <alignment horizontal="center" vertical="center"/>
    </xf>
    <xf numFmtId="0" fontId="9" fillId="0" borderId="1" xfId="0" applyFont="1" applyBorder="1" applyAlignment="1" applyProtection="1">
      <alignment horizontal="left" vertical="top" wrapText="1"/>
      <protection locked="0"/>
    </xf>
    <xf numFmtId="0" fontId="9" fillId="0" borderId="1" xfId="0" applyFont="1" applyBorder="1" applyAlignment="1" applyProtection="1">
      <alignment vertical="center" wrapText="1"/>
      <protection locked="0"/>
    </xf>
    <xf numFmtId="10" fontId="8" fillId="0" borderId="1" xfId="0" applyNumberFormat="1" applyFont="1" applyBorder="1" applyAlignment="1" applyProtection="1">
      <alignment horizontal="center" vertical="center"/>
      <protection locked="0"/>
    </xf>
    <xf numFmtId="0" fontId="6" fillId="0" borderId="1" xfId="0" applyFont="1" applyBorder="1" applyProtection="1">
      <protection locked="0"/>
    </xf>
    <xf numFmtId="0" fontId="6" fillId="0" borderId="5" xfId="0" applyFont="1" applyBorder="1" applyAlignment="1">
      <alignment vertical="center"/>
    </xf>
    <xf numFmtId="10" fontId="6" fillId="0" borderId="1" xfId="0" applyNumberFormat="1" applyFont="1" applyBorder="1" applyAlignment="1">
      <alignment vertical="center"/>
    </xf>
    <xf numFmtId="0" fontId="6" fillId="0" borderId="1" xfId="0" applyFont="1" applyBorder="1" applyAlignment="1" applyProtection="1">
      <alignment horizontal="left" vertical="top"/>
      <protection locked="0"/>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left" vertical="top"/>
      <protection locked="0"/>
    </xf>
    <xf numFmtId="0" fontId="9" fillId="0" borderId="5" xfId="0" applyFont="1" applyBorder="1" applyAlignment="1" applyProtection="1">
      <alignment horizontal="center" vertical="center"/>
      <protection locked="0"/>
    </xf>
    <xf numFmtId="0" fontId="9" fillId="0" borderId="5" xfId="0" applyFont="1" applyBorder="1" applyAlignment="1">
      <alignment horizontal="center" vertical="center"/>
    </xf>
    <xf numFmtId="10" fontId="9" fillId="0" borderId="5" xfId="1" applyNumberFormat="1" applyFont="1" applyBorder="1" applyAlignment="1">
      <alignment horizontal="center" vertical="center"/>
    </xf>
    <xf numFmtId="0" fontId="9" fillId="0" borderId="5" xfId="0" applyFont="1" applyBorder="1" applyAlignment="1" applyProtection="1">
      <alignment horizontal="left" vertical="top" wrapText="1"/>
      <protection locked="0"/>
    </xf>
    <xf numFmtId="0" fontId="9" fillId="0" borderId="5" xfId="0" applyFont="1" applyBorder="1" applyAlignment="1" applyProtection="1">
      <alignment vertical="center" wrapText="1"/>
      <protection locked="0"/>
    </xf>
    <xf numFmtId="10" fontId="8" fillId="0" borderId="5" xfId="0" applyNumberFormat="1" applyFont="1" applyBorder="1" applyAlignment="1" applyProtection="1">
      <alignment horizontal="center" vertical="center"/>
      <protection locked="0"/>
    </xf>
    <xf numFmtId="0" fontId="6" fillId="0" borderId="5" xfId="0" applyFont="1" applyBorder="1" applyProtection="1">
      <protection locked="0"/>
    </xf>
    <xf numFmtId="0" fontId="6" fillId="0" borderId="1"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10" fontId="6" fillId="0" borderId="5" xfId="0" applyNumberFormat="1"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9" fontId="5" fillId="5" borderId="6" xfId="1" applyFont="1" applyFill="1" applyBorder="1" applyAlignment="1">
      <alignment vertical="center"/>
    </xf>
    <xf numFmtId="1" fontId="6" fillId="2" borderId="6" xfId="0" applyNumberFormat="1" applyFont="1" applyFill="1" applyBorder="1" applyAlignment="1">
      <alignment vertical="center"/>
    </xf>
    <xf numFmtId="0" fontId="10" fillId="0" borderId="0" xfId="0" applyFont="1" applyAlignment="1">
      <alignment horizontal="center" vertical="center"/>
    </xf>
    <xf numFmtId="0" fontId="11" fillId="0" borderId="0" xfId="0" applyFont="1" applyAlignment="1">
      <alignment horizontal="left" vertical="top" wrapText="1"/>
    </xf>
    <xf numFmtId="1" fontId="13" fillId="0" borderId="0" xfId="0" applyNumberFormat="1" applyFont="1" applyAlignment="1">
      <alignment vertical="center"/>
    </xf>
    <xf numFmtId="0" fontId="13" fillId="0" borderId="0" xfId="0" applyFont="1"/>
    <xf numFmtId="0" fontId="10" fillId="0" borderId="0" xfId="0" applyFont="1"/>
    <xf numFmtId="0" fontId="15" fillId="0" borderId="0" xfId="0" applyFont="1" applyAlignment="1">
      <alignment horizontal="left" vertical="top" wrapText="1"/>
    </xf>
    <xf numFmtId="0" fontId="11" fillId="0" borderId="0" xfId="0" applyFont="1" applyAlignment="1">
      <alignment horizontal="center" wrapText="1"/>
    </xf>
    <xf numFmtId="0" fontId="18" fillId="0" borderId="0" xfId="0" applyFont="1" applyAlignment="1">
      <alignment wrapText="1"/>
    </xf>
    <xf numFmtId="0" fontId="13" fillId="0" borderId="0" xfId="0" applyFont="1" applyAlignment="1">
      <alignment wrapText="1"/>
    </xf>
    <xf numFmtId="164" fontId="13" fillId="0" borderId="0" xfId="0" applyNumberFormat="1" applyFont="1"/>
    <xf numFmtId="0" fontId="13" fillId="0" borderId="0" xfId="0" applyFont="1" applyAlignment="1">
      <alignment vertical="center"/>
    </xf>
    <xf numFmtId="0" fontId="19" fillId="0" borderId="0" xfId="0" applyFont="1" applyAlignment="1">
      <alignment wrapText="1"/>
    </xf>
    <xf numFmtId="0" fontId="13" fillId="11" borderId="0" xfId="0" applyFont="1" applyFill="1" applyAlignment="1">
      <alignment vertical="center" wrapText="1"/>
    </xf>
    <xf numFmtId="0" fontId="6" fillId="11" borderId="0" xfId="0" applyFont="1" applyFill="1" applyAlignment="1">
      <alignment vertical="center" wrapText="1"/>
    </xf>
    <xf numFmtId="0" fontId="10" fillId="0" borderId="0" xfId="0" applyFont="1" applyAlignment="1">
      <alignment vertical="center" wrapText="1"/>
    </xf>
    <xf numFmtId="0" fontId="20" fillId="0" borderId="0" xfId="0" applyFont="1"/>
    <xf numFmtId="0" fontId="20" fillId="11" borderId="0" xfId="0" applyFont="1" applyFill="1" applyAlignment="1">
      <alignment vertical="center" wrapText="1"/>
    </xf>
    <xf numFmtId="0" fontId="10" fillId="2" borderId="21" xfId="0" applyFont="1" applyFill="1" applyBorder="1" applyAlignment="1">
      <alignment horizontal="center" vertical="center"/>
    </xf>
    <xf numFmtId="0" fontId="24" fillId="0" borderId="24" xfId="0" applyFont="1" applyBorder="1" applyAlignment="1" applyProtection="1">
      <alignment horizontal="left" vertical="top"/>
      <protection locked="0"/>
    </xf>
    <xf numFmtId="0" fontId="24" fillId="0" borderId="0" xfId="0" applyFont="1" applyAlignment="1" applyProtection="1">
      <alignment horizontal="left" vertical="top"/>
      <protection locked="0"/>
    </xf>
    <xf numFmtId="0" fontId="24" fillId="0" borderId="0" xfId="0" applyFont="1" applyAlignment="1" applyProtection="1">
      <alignment horizontal="left" vertical="top" wrapText="1"/>
      <protection locked="0"/>
    </xf>
    <xf numFmtId="0" fontId="26" fillId="0" borderId="24"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8" fillId="0" borderId="0" xfId="0" applyFont="1" applyAlignment="1" applyProtection="1">
      <alignment horizontal="left" vertical="top" wrapText="1"/>
      <protection locked="0"/>
    </xf>
    <xf numFmtId="0" fontId="28" fillId="0" borderId="0" xfId="0" applyFont="1" applyAlignment="1" applyProtection="1">
      <alignment horizontal="left" vertical="top"/>
      <protection locked="0"/>
    </xf>
    <xf numFmtId="0" fontId="24" fillId="0" borderId="0" xfId="0" quotePrefix="1" applyFont="1" applyAlignment="1" applyProtection="1">
      <alignment horizontal="right" vertical="top"/>
      <protection locked="0"/>
    </xf>
    <xf numFmtId="0" fontId="24" fillId="0" borderId="0" xfId="0" quotePrefix="1" applyFont="1" applyAlignment="1" applyProtection="1">
      <alignment horizontal="left" vertical="top" wrapText="1"/>
      <protection locked="0"/>
    </xf>
    <xf numFmtId="0" fontId="24" fillId="13" borderId="0" xfId="0" applyFont="1" applyFill="1" applyAlignment="1" applyProtection="1">
      <alignment horizontal="left" vertical="top"/>
      <protection locked="0"/>
    </xf>
    <xf numFmtId="0" fontId="24" fillId="14" borderId="0" xfId="0" applyFont="1" applyFill="1" applyAlignment="1" applyProtection="1">
      <alignment horizontal="left" vertical="top"/>
      <protection locked="0"/>
    </xf>
    <xf numFmtId="0" fontId="28" fillId="15" borderId="1" xfId="0" applyFont="1" applyFill="1" applyBorder="1" applyAlignment="1" applyProtection="1">
      <alignment horizontal="left" vertical="top" wrapText="1"/>
      <protection locked="0"/>
    </xf>
    <xf numFmtId="0" fontId="24" fillId="16" borderId="1" xfId="0" applyFont="1" applyFill="1" applyBorder="1" applyAlignment="1" applyProtection="1">
      <alignment horizontal="left" vertical="top" wrapText="1"/>
      <protection locked="0"/>
    </xf>
    <xf numFmtId="0" fontId="24" fillId="17" borderId="1" xfId="0" applyFont="1" applyFill="1" applyBorder="1" applyAlignment="1" applyProtection="1">
      <alignment horizontal="left" vertical="top" wrapText="1"/>
      <protection locked="0"/>
    </xf>
    <xf numFmtId="0" fontId="24" fillId="18" borderId="1" xfId="0" applyFont="1" applyFill="1" applyBorder="1" applyAlignment="1" applyProtection="1">
      <alignment horizontal="left" vertical="top" wrapText="1"/>
      <protection locked="0"/>
    </xf>
    <xf numFmtId="0" fontId="24" fillId="19" borderId="1" xfId="0" applyFont="1" applyFill="1" applyBorder="1" applyAlignment="1" applyProtection="1">
      <alignment horizontal="left" vertical="top" wrapText="1"/>
      <protection locked="0"/>
    </xf>
    <xf numFmtId="0" fontId="24" fillId="20" borderId="1" xfId="0" applyFont="1" applyFill="1" applyBorder="1" applyAlignment="1" applyProtection="1">
      <alignment horizontal="left" vertical="top" wrapText="1"/>
      <protection locked="0"/>
    </xf>
    <xf numFmtId="0" fontId="24" fillId="21" borderId="1" xfId="0" applyFont="1" applyFill="1" applyBorder="1" applyAlignment="1" applyProtection="1">
      <alignment horizontal="left" vertical="top" wrapText="1"/>
      <protection locked="0"/>
    </xf>
    <xf numFmtId="0" fontId="24" fillId="0" borderId="0" xfId="0" applyFont="1" applyAlignment="1">
      <alignment horizontal="left" vertical="top"/>
    </xf>
    <xf numFmtId="0" fontId="26" fillId="0" borderId="0" xfId="0" applyFont="1" applyAlignment="1">
      <alignment horizontal="left" vertical="center"/>
    </xf>
    <xf numFmtId="0" fontId="24" fillId="0" borderId="0" xfId="0" applyFont="1" applyAlignment="1" applyProtection="1">
      <alignment vertical="top" wrapText="1"/>
      <protection locked="0"/>
    </xf>
    <xf numFmtId="0" fontId="24" fillId="0" borderId="0" xfId="0" quotePrefix="1" applyFont="1" applyAlignment="1" applyProtection="1">
      <alignment horizontal="right" vertical="center"/>
      <protection locked="0"/>
    </xf>
    <xf numFmtId="0" fontId="0" fillId="0" borderId="0" xfId="0" applyAlignment="1" applyProtection="1">
      <alignment vertical="top" wrapText="1"/>
      <protection locked="0"/>
    </xf>
    <xf numFmtId="0" fontId="16" fillId="0" borderId="1" xfId="0" applyFont="1" applyBorder="1" applyAlignment="1">
      <alignment horizontal="right" vertical="top" wrapText="1"/>
    </xf>
    <xf numFmtId="0" fontId="31" fillId="2" borderId="1" xfId="0" applyFont="1" applyFill="1" applyBorder="1" applyAlignment="1" applyProtection="1">
      <alignment horizontal="left" wrapText="1"/>
      <protection locked="0"/>
    </xf>
    <xf numFmtId="0" fontId="11" fillId="0" borderId="0" xfId="0" applyFont="1" applyAlignment="1">
      <alignment horizontal="centerContinuous" vertical="top" wrapText="1"/>
    </xf>
    <xf numFmtId="0" fontId="31" fillId="0" borderId="1" xfId="0" applyFont="1" applyBorder="1" applyAlignment="1" applyProtection="1">
      <alignment horizontal="left" wrapText="1"/>
      <protection locked="0"/>
    </xf>
    <xf numFmtId="0" fontId="28" fillId="0" borderId="0" xfId="0" applyFont="1" applyAlignment="1">
      <alignment horizontal="center" vertical="center" wrapText="1"/>
    </xf>
    <xf numFmtId="0" fontId="27" fillId="22" borderId="22" xfId="0" applyFont="1" applyFill="1" applyBorder="1" applyAlignment="1">
      <alignment horizontal="centerContinuous" vertical="center"/>
    </xf>
    <xf numFmtId="0" fontId="27" fillId="22" borderId="23" xfId="0" applyFont="1" applyFill="1" applyBorder="1" applyAlignment="1">
      <alignment horizontal="centerContinuous" vertical="center"/>
    </xf>
    <xf numFmtId="0" fontId="27" fillId="22" borderId="25" xfId="0" applyFont="1" applyFill="1" applyBorder="1" applyAlignment="1">
      <alignment horizontal="centerContinuous" vertical="center"/>
    </xf>
    <xf numFmtId="0" fontId="15" fillId="19" borderId="21" xfId="0" applyFont="1" applyFill="1" applyBorder="1" applyAlignment="1">
      <alignment horizontal="left" vertical="center" wrapText="1"/>
    </xf>
    <xf numFmtId="0" fontId="33" fillId="19" borderId="21" xfId="0" applyFont="1" applyFill="1" applyBorder="1" applyAlignment="1">
      <alignment vertical="center"/>
    </xf>
    <xf numFmtId="0" fontId="13" fillId="0" borderId="24" xfId="0" applyFont="1" applyBorder="1" applyAlignment="1">
      <alignment wrapText="1"/>
    </xf>
    <xf numFmtId="0" fontId="13" fillId="0" borderId="26" xfId="0" applyFont="1" applyBorder="1" applyAlignment="1">
      <alignment wrapText="1"/>
    </xf>
    <xf numFmtId="49" fontId="13" fillId="0" borderId="0" xfId="0" applyNumberFormat="1" applyFont="1" applyAlignment="1">
      <alignment wrapText="1"/>
    </xf>
    <xf numFmtId="0" fontId="31" fillId="3" borderId="27" xfId="0" applyFont="1" applyFill="1" applyBorder="1" applyAlignment="1">
      <alignment horizontal="centerContinuous" vertical="center" wrapText="1"/>
    </xf>
    <xf numFmtId="49" fontId="22" fillId="0" borderId="1" xfId="0" applyNumberFormat="1" applyFont="1" applyBorder="1" applyAlignment="1">
      <alignment vertical="center" wrapText="1"/>
    </xf>
    <xf numFmtId="49" fontId="21" fillId="0" borderId="1" xfId="0" quotePrefix="1" applyNumberFormat="1" applyFont="1" applyBorder="1" applyAlignment="1" applyProtection="1">
      <alignment vertical="center" wrapText="1"/>
      <protection locked="0"/>
    </xf>
    <xf numFmtId="49" fontId="21" fillId="0" borderId="1" xfId="0" applyNumberFormat="1" applyFont="1" applyBorder="1" applyAlignment="1" applyProtection="1">
      <alignment vertical="center" wrapText="1"/>
      <protection locked="0"/>
    </xf>
    <xf numFmtId="0" fontId="0" fillId="0" borderId="1" xfId="0" applyBorder="1" applyAlignment="1" applyProtection="1">
      <alignment horizontal="center" vertical="center"/>
      <protection locked="0"/>
    </xf>
    <xf numFmtId="0" fontId="21" fillId="0" borderId="19" xfId="0" applyFont="1" applyBorder="1" applyProtection="1">
      <protection locked="0"/>
    </xf>
    <xf numFmtId="0" fontId="0" fillId="0" borderId="20" xfId="0" applyBorder="1"/>
    <xf numFmtId="0" fontId="0" fillId="0" borderId="18" xfId="0" applyBorder="1"/>
    <xf numFmtId="0" fontId="0" fillId="0" borderId="21" xfId="0" applyBorder="1"/>
    <xf numFmtId="0" fontId="0" fillId="0" borderId="19" xfId="0" applyBorder="1"/>
    <xf numFmtId="0" fontId="0" fillId="0" borderId="14" xfId="0" applyBorder="1"/>
    <xf numFmtId="0" fontId="0" fillId="0" borderId="16" xfId="0" applyBorder="1"/>
    <xf numFmtId="0" fontId="11" fillId="0" borderId="0" xfId="0" applyFont="1" applyAlignment="1">
      <alignment horizontal="centerContinuous" wrapText="1"/>
    </xf>
    <xf numFmtId="0" fontId="6" fillId="0" borderId="12" xfId="0" applyFont="1" applyBorder="1"/>
    <xf numFmtId="0" fontId="6" fillId="0" borderId="1" xfId="0" applyFont="1" applyBorder="1" applyAlignment="1" applyProtection="1">
      <alignment horizontal="center" vertical="center"/>
      <protection locked="0"/>
    </xf>
    <xf numFmtId="9" fontId="13" fillId="24" borderId="0" xfId="1" applyFont="1" applyFill="1"/>
    <xf numFmtId="0" fontId="6" fillId="0" borderId="0" xfId="0" applyFont="1" applyAlignment="1">
      <alignment horizontal="centerContinuous"/>
    </xf>
    <xf numFmtId="0" fontId="6" fillId="9" borderId="8" xfId="0" applyFont="1" applyFill="1" applyBorder="1"/>
    <xf numFmtId="1" fontId="5" fillId="2" borderId="8" xfId="0" applyNumberFormat="1" applyFont="1" applyFill="1" applyBorder="1" applyAlignment="1">
      <alignment vertical="center"/>
    </xf>
    <xf numFmtId="0" fontId="6" fillId="0" borderId="4" xfId="0" applyFont="1" applyBorder="1" applyAlignment="1">
      <alignment vertical="center"/>
    </xf>
    <xf numFmtId="10" fontId="5" fillId="5" borderId="1" xfId="0" applyNumberFormat="1" applyFont="1" applyFill="1" applyBorder="1" applyAlignment="1">
      <alignment horizontal="centerContinuous" vertical="center"/>
    </xf>
    <xf numFmtId="1" fontId="5" fillId="5" borderId="1" xfId="0" applyNumberFormat="1" applyFont="1" applyFill="1" applyBorder="1" applyAlignment="1">
      <alignment horizontal="centerContinuous" vertical="center"/>
    </xf>
    <xf numFmtId="10" fontId="5" fillId="5" borderId="1" xfId="0" applyNumberFormat="1" applyFont="1" applyFill="1" applyBorder="1" applyAlignment="1">
      <alignment horizontal="center" vertical="center"/>
    </xf>
    <xf numFmtId="10" fontId="5" fillId="5" borderId="1" xfId="0" applyNumberFormat="1" applyFont="1" applyFill="1" applyBorder="1" applyAlignment="1">
      <alignment vertical="center"/>
    </xf>
    <xf numFmtId="1" fontId="6" fillId="2" borderId="1" xfId="0" applyNumberFormat="1" applyFont="1" applyFill="1" applyBorder="1" applyAlignment="1">
      <alignment vertical="center"/>
    </xf>
    <xf numFmtId="9" fontId="6" fillId="2" borderId="1" xfId="0" applyNumberFormat="1" applyFont="1" applyFill="1" applyBorder="1" applyAlignment="1">
      <alignment vertical="center"/>
    </xf>
    <xf numFmtId="0" fontId="5" fillId="5" borderId="1" xfId="0" applyFont="1" applyFill="1" applyBorder="1" applyAlignment="1">
      <alignment vertical="center"/>
    </xf>
    <xf numFmtId="0" fontId="5" fillId="5" borderId="1" xfId="0" applyFont="1" applyFill="1" applyBorder="1" applyAlignment="1">
      <alignment horizontal="right" vertical="center"/>
    </xf>
    <xf numFmtId="0" fontId="5" fillId="2" borderId="1" xfId="0" applyFont="1" applyFill="1" applyBorder="1" applyAlignment="1">
      <alignment vertical="center" textRotation="90"/>
    </xf>
    <xf numFmtId="49" fontId="21" fillId="6" borderId="1" xfId="0" applyNumberFormat="1" applyFont="1" applyFill="1" applyBorder="1" applyAlignment="1">
      <alignment horizontal="left" vertical="center" wrapText="1"/>
    </xf>
    <xf numFmtId="0" fontId="21" fillId="6" borderId="1" xfId="0" applyFont="1" applyFill="1" applyBorder="1" applyAlignment="1">
      <alignment vertical="center" wrapText="1"/>
    </xf>
    <xf numFmtId="0" fontId="7" fillId="8" borderId="1" xfId="0" applyFont="1" applyFill="1" applyBorder="1" applyAlignment="1">
      <alignment vertical="center" wrapText="1"/>
    </xf>
    <xf numFmtId="1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19" borderId="13" xfId="0" applyFont="1" applyFill="1" applyBorder="1" applyAlignment="1">
      <alignment vertical="center" wrapText="1"/>
    </xf>
    <xf numFmtId="0" fontId="15" fillId="19" borderId="14" xfId="0" applyFont="1" applyFill="1" applyBorder="1" applyAlignment="1">
      <alignment horizontal="left" vertical="center" wrapText="1"/>
    </xf>
    <xf numFmtId="0" fontId="36" fillId="3" borderId="28" xfId="0" applyFont="1" applyFill="1" applyBorder="1" applyAlignment="1">
      <alignment horizontal="centerContinuous" vertical="center" wrapText="1"/>
    </xf>
    <xf numFmtId="0" fontId="21" fillId="3" borderId="29" xfId="0" applyFont="1" applyFill="1" applyBorder="1" applyAlignment="1">
      <alignment vertical="center" wrapText="1"/>
    </xf>
    <xf numFmtId="0" fontId="21" fillId="4" borderId="30" xfId="0" applyFont="1" applyFill="1" applyBorder="1" applyAlignment="1">
      <alignment vertical="center" wrapText="1"/>
    </xf>
    <xf numFmtId="0" fontId="21" fillId="4" borderId="29" xfId="0" applyFont="1" applyFill="1" applyBorder="1" applyAlignment="1">
      <alignment vertical="center" wrapText="1"/>
    </xf>
    <xf numFmtId="164" fontId="7" fillId="5" borderId="17" xfId="0" applyNumberFormat="1" applyFont="1" applyFill="1" applyBorder="1" applyAlignment="1">
      <alignment vertical="center" wrapText="1"/>
    </xf>
    <xf numFmtId="0" fontId="7" fillId="5" borderId="29" xfId="0" applyFont="1" applyFill="1" applyBorder="1" applyAlignment="1">
      <alignment vertical="center"/>
    </xf>
    <xf numFmtId="0" fontId="27" fillId="22" borderId="40" xfId="0" applyFont="1" applyFill="1" applyBorder="1" applyAlignment="1">
      <alignment horizontal="center" vertical="center"/>
    </xf>
    <xf numFmtId="0" fontId="27" fillId="22" borderId="6" xfId="0" applyFont="1" applyFill="1" applyBorder="1" applyAlignment="1">
      <alignment horizontal="center" vertical="center"/>
    </xf>
    <xf numFmtId="0" fontId="27" fillId="22" borderId="41" xfId="0" applyFont="1" applyFill="1" applyBorder="1" applyAlignment="1">
      <alignment horizontal="center" vertical="center"/>
    </xf>
    <xf numFmtId="10" fontId="32" fillId="0" borderId="38" xfId="1" applyNumberFormat="1" applyFont="1" applyFill="1" applyBorder="1" applyAlignment="1">
      <alignment vertical="center"/>
    </xf>
    <xf numFmtId="0" fontId="34" fillId="19" borderId="45" xfId="0" applyFont="1" applyFill="1" applyBorder="1" applyAlignment="1">
      <alignment horizontal="left" vertical="center" wrapText="1"/>
    </xf>
    <xf numFmtId="9" fontId="32" fillId="0" borderId="46" xfId="1" applyFont="1" applyFill="1" applyBorder="1" applyAlignment="1">
      <alignment vertical="center"/>
    </xf>
    <xf numFmtId="10" fontId="32" fillId="0" borderId="48" xfId="1" applyNumberFormat="1" applyFont="1" applyFill="1" applyBorder="1" applyAlignment="1">
      <alignment vertical="center"/>
    </xf>
    <xf numFmtId="10" fontId="32" fillId="0" borderId="37" xfId="1" applyNumberFormat="1" applyFont="1" applyFill="1" applyBorder="1" applyAlignment="1">
      <alignment vertical="center"/>
    </xf>
    <xf numFmtId="10" fontId="32" fillId="0" borderId="39" xfId="1" applyNumberFormat="1" applyFont="1" applyFill="1" applyBorder="1" applyAlignment="1">
      <alignment vertical="center"/>
    </xf>
    <xf numFmtId="0" fontId="27" fillId="22" borderId="31" xfId="0" applyFont="1" applyFill="1" applyBorder="1" applyAlignment="1">
      <alignment horizontal="center" vertical="center"/>
    </xf>
    <xf numFmtId="0" fontId="27" fillId="22" borderId="42" xfId="0" applyFont="1" applyFill="1" applyBorder="1" applyAlignment="1">
      <alignment horizontal="center" vertical="center"/>
    </xf>
    <xf numFmtId="0" fontId="27" fillId="22" borderId="49" xfId="0" applyFont="1" applyFill="1" applyBorder="1" applyAlignment="1">
      <alignment horizontal="center" vertical="center"/>
    </xf>
    <xf numFmtId="0" fontId="27" fillId="22" borderId="32" xfId="0" applyFont="1" applyFill="1" applyBorder="1" applyAlignment="1">
      <alignment horizontal="center" vertical="center"/>
    </xf>
    <xf numFmtId="0" fontId="15" fillId="0" borderId="43" xfId="0" applyFont="1" applyBorder="1" applyAlignment="1">
      <alignment wrapText="1"/>
    </xf>
    <xf numFmtId="9" fontId="34" fillId="0" borderId="44" xfId="0" applyNumberFormat="1" applyFont="1" applyBorder="1" applyAlignment="1">
      <alignment wrapText="1"/>
    </xf>
    <xf numFmtId="9" fontId="38" fillId="23" borderId="33" xfId="1" applyFont="1" applyFill="1" applyBorder="1" applyAlignment="1">
      <alignment vertical="center"/>
    </xf>
    <xf numFmtId="9" fontId="38" fillId="23" borderId="1" xfId="1" applyFont="1" applyFill="1" applyBorder="1" applyAlignment="1">
      <alignment vertical="center"/>
    </xf>
    <xf numFmtId="9" fontId="38" fillId="23" borderId="15" xfId="1" applyFont="1" applyFill="1" applyBorder="1" applyAlignment="1">
      <alignment vertical="center"/>
    </xf>
    <xf numFmtId="0" fontId="39" fillId="22" borderId="11" xfId="0" applyFont="1" applyFill="1" applyBorder="1" applyAlignment="1">
      <alignment horizontal="center" vertical="center"/>
    </xf>
    <xf numFmtId="9" fontId="38" fillId="22" borderId="35" xfId="1" applyFont="1" applyFill="1" applyBorder="1" applyAlignment="1">
      <alignment vertical="center"/>
    </xf>
    <xf numFmtId="9" fontId="38" fillId="22" borderId="2" xfId="1" applyFont="1" applyFill="1" applyBorder="1" applyAlignment="1">
      <alignment vertical="center"/>
    </xf>
    <xf numFmtId="9" fontId="38" fillId="22" borderId="36" xfId="1" applyFont="1" applyFill="1" applyBorder="1" applyAlignment="1">
      <alignment vertical="center"/>
    </xf>
    <xf numFmtId="9" fontId="40" fillId="0" borderId="47" xfId="0" applyNumberFormat="1" applyFont="1" applyBorder="1" applyAlignment="1">
      <alignment wrapText="1"/>
    </xf>
    <xf numFmtId="9" fontId="40" fillId="0" borderId="44" xfId="0" applyNumberFormat="1" applyFont="1" applyBorder="1" applyAlignment="1">
      <alignment wrapText="1"/>
    </xf>
    <xf numFmtId="0" fontId="16" fillId="0" borderId="0" xfId="0" applyFont="1" applyAlignment="1">
      <alignment horizontal="center" vertical="center" wrapText="1"/>
    </xf>
    <xf numFmtId="0" fontId="11" fillId="0" borderId="11" xfId="0" applyFont="1" applyBorder="1" applyAlignment="1">
      <alignment horizontal="centerContinuous" vertical="top" wrapText="1"/>
    </xf>
    <xf numFmtId="0" fontId="11" fillId="0" borderId="34" xfId="0" applyFont="1" applyBorder="1" applyAlignment="1">
      <alignment horizontal="centerContinuous" wrapText="1"/>
    </xf>
    <xf numFmtId="0" fontId="11" fillId="0" borderId="12" xfId="0" applyFont="1" applyBorder="1" applyAlignment="1">
      <alignment horizontal="center" wrapText="1"/>
    </xf>
    <xf numFmtId="0" fontId="11" fillId="0" borderId="8" xfId="0" applyFont="1" applyBorder="1" applyAlignment="1">
      <alignment horizontal="center" wrapText="1"/>
    </xf>
    <xf numFmtId="0" fontId="11" fillId="0" borderId="11" xfId="0" applyFont="1" applyBorder="1" applyAlignment="1">
      <alignment horizontal="centerContinuous" wrapText="1"/>
    </xf>
    <xf numFmtId="0" fontId="6" fillId="0" borderId="8" xfId="0" applyFont="1" applyBorder="1"/>
    <xf numFmtId="0" fontId="6" fillId="0" borderId="34" xfId="0" applyFont="1" applyBorder="1" applyAlignment="1">
      <alignment horizontal="centerContinuous"/>
    </xf>
    <xf numFmtId="9" fontId="41" fillId="25" borderId="6" xfId="1" applyFont="1" applyFill="1" applyBorder="1" applyAlignment="1">
      <alignment vertical="center"/>
    </xf>
    <xf numFmtId="9" fontId="41" fillId="25" borderId="1" xfId="1" applyFont="1" applyFill="1" applyBorder="1" applyAlignment="1">
      <alignment vertical="center"/>
    </xf>
    <xf numFmtId="49" fontId="21" fillId="0" borderId="5" xfId="0" applyNumberFormat="1" applyFont="1" applyBorder="1" applyAlignment="1" applyProtection="1">
      <alignment vertical="center" wrapText="1"/>
      <protection locked="0"/>
    </xf>
    <xf numFmtId="0" fontId="0" fillId="0" borderId="5" xfId="0" applyBorder="1" applyAlignment="1" applyProtection="1">
      <alignment horizontal="center" vertical="center"/>
      <protection locked="0"/>
    </xf>
    <xf numFmtId="0" fontId="0" fillId="0" borderId="5" xfId="0" applyBorder="1" applyProtection="1">
      <protection locked="0"/>
    </xf>
    <xf numFmtId="0" fontId="43" fillId="0" borderId="0" xfId="0" applyFont="1" applyAlignment="1">
      <alignment horizontal="center" vertical="center" wrapText="1"/>
      <extLst>
        <ext xmlns:xfpb="http://schemas.microsoft.com/office/spreadsheetml/2022/featurepropertybag" uri="{C7286773-470A-42A8-94C5-96B5CB345126}">
          <xfpb:xfComplement i="0"/>
        </ext>
      </extLst>
    </xf>
    <xf numFmtId="0" fontId="6" fillId="0" borderId="5" xfId="0" applyFont="1" applyBorder="1" applyAlignment="1" applyProtection="1">
      <alignment horizontal="left" vertical="top" wrapText="1"/>
      <protection locked="0"/>
    </xf>
    <xf numFmtId="0" fontId="6" fillId="0" borderId="5" xfId="0" applyFont="1" applyBorder="1" applyAlignment="1" applyProtection="1">
      <alignment wrapText="1"/>
      <protection locked="0"/>
    </xf>
    <xf numFmtId="0" fontId="21" fillId="0" borderId="1" xfId="0" applyFont="1" applyBorder="1" applyProtection="1">
      <protection locked="0"/>
    </xf>
    <xf numFmtId="0" fontId="13" fillId="0" borderId="5" xfId="0" applyFont="1" applyBorder="1" applyAlignment="1">
      <alignment vertical="center" wrapText="1"/>
    </xf>
    <xf numFmtId="0" fontId="6" fillId="0" borderId="5" xfId="0" applyFont="1" applyBorder="1" applyAlignment="1" applyProtection="1">
      <alignment horizontal="center" vertical="center"/>
      <protection locked="0"/>
    </xf>
    <xf numFmtId="10" fontId="5" fillId="5" borderId="11" xfId="0" applyNumberFormat="1" applyFont="1" applyFill="1" applyBorder="1" applyAlignment="1">
      <alignment horizontal="centerContinuous" vertical="center"/>
    </xf>
    <xf numFmtId="1" fontId="5" fillId="5" borderId="0" xfId="0" applyNumberFormat="1" applyFont="1" applyFill="1" applyAlignment="1">
      <alignment horizontal="centerContinuous" vertical="center"/>
    </xf>
    <xf numFmtId="10" fontId="5" fillId="5" borderId="0" xfId="0" applyNumberFormat="1" applyFont="1" applyFill="1" applyAlignment="1">
      <alignment horizontal="centerContinuous" vertical="center"/>
    </xf>
    <xf numFmtId="10" fontId="5" fillId="5" borderId="0" xfId="0" applyNumberFormat="1" applyFont="1" applyFill="1" applyAlignment="1">
      <alignment horizontal="center" vertical="center"/>
    </xf>
    <xf numFmtId="10" fontId="5" fillId="5" borderId="34" xfId="0" applyNumberFormat="1" applyFont="1" applyFill="1" applyBorder="1" applyAlignment="1">
      <alignment vertical="center"/>
    </xf>
    <xf numFmtId="10" fontId="5" fillId="5" borderId="51" xfId="0" applyNumberFormat="1" applyFont="1" applyFill="1" applyBorder="1" applyAlignment="1">
      <alignment horizontal="center" vertical="center"/>
    </xf>
    <xf numFmtId="49" fontId="23" fillId="0" borderId="1" xfId="0" applyNumberFormat="1" applyFont="1" applyBorder="1" applyAlignment="1">
      <alignment vertical="center" wrapText="1"/>
    </xf>
    <xf numFmtId="0" fontId="45" fillId="0" borderId="1" xfId="0" applyFont="1" applyBorder="1" applyAlignment="1">
      <alignment vertical="top" wrapText="1"/>
    </xf>
    <xf numFmtId="0" fontId="6" fillId="0" borderId="1" xfId="0" applyFont="1" applyBorder="1" applyAlignment="1">
      <alignment horizontal="right" vertical="top" wrapText="1"/>
    </xf>
    <xf numFmtId="0" fontId="5" fillId="2" borderId="1" xfId="0" applyFont="1" applyFill="1" applyBorder="1" applyAlignment="1" applyProtection="1">
      <alignment horizontal="left" wrapText="1"/>
      <protection locked="0"/>
    </xf>
    <xf numFmtId="0" fontId="5" fillId="0" borderId="1" xfId="0" applyFont="1" applyBorder="1" applyAlignment="1" applyProtection="1">
      <alignment horizontal="left" wrapText="1"/>
      <protection locked="0"/>
    </xf>
    <xf numFmtId="0" fontId="46" fillId="0" borderId="1" xfId="0" applyFont="1" applyBorder="1" applyAlignment="1">
      <alignment vertical="center" wrapText="1"/>
    </xf>
    <xf numFmtId="0" fontId="47" fillId="0" borderId="1" xfId="0" applyFont="1" applyBorder="1" applyAlignment="1">
      <alignment vertical="center" wrapText="1"/>
    </xf>
    <xf numFmtId="0" fontId="48" fillId="0" borderId="1" xfId="0" applyFont="1" applyBorder="1" applyAlignment="1">
      <alignment vertical="center" wrapText="1"/>
    </xf>
    <xf numFmtId="0" fontId="50" fillId="0" borderId="1" xfId="0" applyFont="1" applyBorder="1" applyAlignment="1">
      <alignment vertical="center" wrapText="1"/>
    </xf>
    <xf numFmtId="0" fontId="52" fillId="0" borderId="1" xfId="0" applyFont="1" applyBorder="1" applyAlignment="1">
      <alignment vertical="center" wrapText="1"/>
    </xf>
    <xf numFmtId="0" fontId="8" fillId="0" borderId="1" xfId="0" applyFont="1" applyBorder="1" applyAlignment="1">
      <alignment vertical="center" wrapText="1"/>
    </xf>
    <xf numFmtId="0" fontId="50" fillId="0" borderId="4" xfId="0" applyFont="1" applyBorder="1" applyAlignment="1">
      <alignment vertical="center" wrapText="1"/>
    </xf>
    <xf numFmtId="49" fontId="50" fillId="0" borderId="1" xfId="0" applyNumberFormat="1" applyFont="1" applyBorder="1" applyAlignment="1">
      <alignment horizontal="left" vertical="center" wrapText="1"/>
    </xf>
    <xf numFmtId="49" fontId="8" fillId="0" borderId="1" xfId="0" applyNumberFormat="1" applyFont="1" applyBorder="1" applyAlignment="1">
      <alignment horizontal="left" vertical="center" wrapText="1"/>
    </xf>
    <xf numFmtId="0" fontId="50"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9" fontId="52" fillId="0" borderId="1" xfId="0" applyNumberFormat="1" applyFont="1" applyBorder="1" applyAlignment="1">
      <alignment horizontal="center" vertical="center" wrapText="1"/>
    </xf>
    <xf numFmtId="0" fontId="41" fillId="2" borderId="52" xfId="0" applyFont="1" applyFill="1" applyBorder="1" applyAlignment="1">
      <alignment vertical="center" textRotation="90"/>
    </xf>
    <xf numFmtId="49" fontId="7" fillId="6" borderId="53" xfId="0" applyNumberFormat="1" applyFont="1" applyFill="1" applyBorder="1" applyAlignment="1">
      <alignment vertical="top" wrapText="1"/>
    </xf>
    <xf numFmtId="0" fontId="7" fillId="6" borderId="53" xfId="0" applyFont="1" applyFill="1" applyBorder="1" applyAlignment="1">
      <alignment vertical="top" wrapText="1"/>
    </xf>
    <xf numFmtId="0" fontId="7" fillId="7" borderId="53" xfId="0" applyFont="1" applyFill="1" applyBorder="1" applyAlignment="1">
      <alignment vertical="top" wrapText="1"/>
    </xf>
    <xf numFmtId="0" fontId="7" fillId="8" borderId="53" xfId="0" applyFont="1" applyFill="1" applyBorder="1" applyAlignment="1">
      <alignment vertical="center" wrapText="1"/>
    </xf>
    <xf numFmtId="10" fontId="7" fillId="2" borderId="53" xfId="0" applyNumberFormat="1" applyFont="1" applyFill="1" applyBorder="1" applyAlignment="1">
      <alignment horizontal="center" vertical="center" wrapText="1"/>
    </xf>
    <xf numFmtId="49" fontId="7" fillId="2" borderId="53" xfId="0" applyNumberFormat="1" applyFont="1" applyFill="1" applyBorder="1" applyAlignment="1">
      <alignment horizontal="center" vertical="center" wrapText="1"/>
    </xf>
    <xf numFmtId="0" fontId="6" fillId="26" borderId="54" xfId="0" applyFont="1" applyFill="1" applyBorder="1" applyAlignment="1">
      <alignment horizontal="center" vertical="center"/>
    </xf>
    <xf numFmtId="0" fontId="6" fillId="26" borderId="10" xfId="0" applyFont="1" applyFill="1" applyBorder="1" applyAlignment="1">
      <alignment horizontal="left" vertical="top" wrapText="1"/>
    </xf>
    <xf numFmtId="0" fontId="9" fillId="26" borderId="10" xfId="0" applyFont="1" applyFill="1" applyBorder="1" applyAlignment="1">
      <alignment horizontal="center" vertical="center"/>
    </xf>
    <xf numFmtId="10" fontId="9" fillId="26" borderId="10" xfId="1" applyNumberFormat="1" applyFont="1" applyFill="1" applyBorder="1" applyAlignment="1">
      <alignment horizontal="center" vertical="center"/>
    </xf>
    <xf numFmtId="0" fontId="9" fillId="26" borderId="10" xfId="0" applyFont="1" applyFill="1" applyBorder="1" applyAlignment="1">
      <alignment horizontal="left" vertical="top" wrapText="1"/>
    </xf>
    <xf numFmtId="0" fontId="9" fillId="26" borderId="10" xfId="0" applyFont="1" applyFill="1" applyBorder="1" applyAlignment="1">
      <alignment vertical="center" wrapText="1"/>
    </xf>
    <xf numFmtId="10" fontId="8" fillId="26" borderId="10" xfId="0" applyNumberFormat="1" applyFont="1" applyFill="1" applyBorder="1" applyAlignment="1">
      <alignment horizontal="center" vertical="center"/>
    </xf>
    <xf numFmtId="0" fontId="6" fillId="26" borderId="10" xfId="0" applyFont="1" applyFill="1" applyBorder="1"/>
    <xf numFmtId="0" fontId="6" fillId="26" borderId="10" xfId="0" applyFont="1" applyFill="1" applyBorder="1" applyAlignment="1">
      <alignment vertical="center"/>
    </xf>
    <xf numFmtId="10" fontId="6" fillId="26" borderId="10" xfId="0" applyNumberFormat="1" applyFont="1" applyFill="1" applyBorder="1" applyAlignment="1">
      <alignment vertical="center"/>
    </xf>
    <xf numFmtId="0" fontId="6" fillId="0" borderId="54" xfId="0" applyFont="1" applyBorder="1" applyAlignment="1">
      <alignment horizontal="center" vertical="center"/>
    </xf>
    <xf numFmtId="0" fontId="6" fillId="0" borderId="10" xfId="0" applyFont="1" applyBorder="1" applyAlignment="1">
      <alignment horizontal="left" vertical="top" wrapText="1"/>
    </xf>
    <xf numFmtId="0" fontId="6" fillId="0" borderId="10" xfId="0" applyFont="1" applyBorder="1" applyAlignment="1">
      <alignment horizontal="left" vertical="top"/>
    </xf>
    <xf numFmtId="0" fontId="9" fillId="0" borderId="10" xfId="0" applyFont="1" applyBorder="1" applyAlignment="1">
      <alignment horizontal="center" vertical="center"/>
    </xf>
    <xf numFmtId="10" fontId="9" fillId="0" borderId="10" xfId="1" applyNumberFormat="1" applyFont="1" applyBorder="1" applyAlignment="1">
      <alignment horizontal="center" vertical="center"/>
    </xf>
    <xf numFmtId="0" fontId="9" fillId="0" borderId="10" xfId="0" applyFont="1" applyBorder="1" applyAlignment="1">
      <alignment horizontal="left" vertical="top" wrapText="1"/>
    </xf>
    <xf numFmtId="0" fontId="9" fillId="0" borderId="10" xfId="0" applyFont="1" applyBorder="1" applyAlignment="1">
      <alignment vertical="center" wrapText="1"/>
    </xf>
    <xf numFmtId="10" fontId="8" fillId="0" borderId="10" xfId="0" applyNumberFormat="1" applyFont="1" applyBorder="1" applyAlignment="1">
      <alignment horizontal="center" vertical="center"/>
    </xf>
    <xf numFmtId="0" fontId="6" fillId="0" borderId="10" xfId="0" applyFont="1" applyBorder="1"/>
    <xf numFmtId="10" fontId="6" fillId="0" borderId="10" xfId="0" applyNumberFormat="1" applyFont="1" applyBorder="1" applyAlignment="1">
      <alignment vertical="center"/>
    </xf>
    <xf numFmtId="0" fontId="6" fillId="26" borderId="10" xfId="0" applyFont="1" applyFill="1" applyBorder="1" applyAlignment="1">
      <alignment horizontal="left" vertical="top"/>
    </xf>
    <xf numFmtId="0" fontId="6" fillId="0" borderId="54" xfId="0" applyFont="1" applyBorder="1" applyAlignment="1">
      <alignment horizontal="center" vertical="top"/>
    </xf>
    <xf numFmtId="0" fontId="6" fillId="26" borderId="54" xfId="0" applyFont="1" applyFill="1" applyBorder="1" applyAlignment="1">
      <alignment horizontal="center" vertical="top"/>
    </xf>
    <xf numFmtId="0" fontId="8" fillId="26" borderId="10" xfId="0" applyFont="1" applyFill="1" applyBorder="1" applyAlignment="1">
      <alignment vertical="top" wrapText="1"/>
    </xf>
    <xf numFmtId="0" fontId="6" fillId="26" borderId="56" xfId="0" applyFont="1" applyFill="1" applyBorder="1" applyAlignment="1">
      <alignment horizontal="center" vertical="center"/>
    </xf>
    <xf numFmtId="0" fontId="6" fillId="26" borderId="57" xfId="0" applyFont="1" applyFill="1" applyBorder="1"/>
    <xf numFmtId="0" fontId="6" fillId="26" borderId="57" xfId="0" applyFont="1" applyFill="1" applyBorder="1" applyAlignment="1">
      <alignment horizontal="left" vertical="top" wrapText="1"/>
    </xf>
    <xf numFmtId="0" fontId="9" fillId="26" borderId="57" xfId="0" applyFont="1" applyFill="1" applyBorder="1" applyAlignment="1">
      <alignment horizontal="center" vertical="center"/>
    </xf>
    <xf numFmtId="10" fontId="9" fillId="26" borderId="57" xfId="1" applyNumberFormat="1" applyFont="1" applyFill="1" applyBorder="1" applyAlignment="1">
      <alignment horizontal="center" vertical="center"/>
    </xf>
    <xf numFmtId="0" fontId="9" fillId="26" borderId="57" xfId="0" applyFont="1" applyFill="1" applyBorder="1" applyAlignment="1">
      <alignment horizontal="left" vertical="top" wrapText="1"/>
    </xf>
    <xf numFmtId="0" fontId="9" fillId="26" borderId="57" xfId="0" applyFont="1" applyFill="1" applyBorder="1" applyAlignment="1">
      <alignment vertical="center" wrapText="1"/>
    </xf>
    <xf numFmtId="10" fontId="8" fillId="26" borderId="57" xfId="0" applyNumberFormat="1" applyFont="1" applyFill="1" applyBorder="1" applyAlignment="1">
      <alignment horizontal="center" vertical="center"/>
    </xf>
    <xf numFmtId="10" fontId="6" fillId="26" borderId="58" xfId="0" applyNumberFormat="1" applyFont="1" applyFill="1" applyBorder="1" applyAlignment="1">
      <alignment vertical="center"/>
    </xf>
    <xf numFmtId="10" fontId="6" fillId="0" borderId="58" xfId="0" applyNumberFormat="1" applyFont="1" applyBorder="1" applyAlignment="1">
      <alignment vertical="center"/>
    </xf>
    <xf numFmtId="0" fontId="41" fillId="9" borderId="52" xfId="0" applyFont="1" applyFill="1" applyBorder="1"/>
    <xf numFmtId="0" fontId="41" fillId="9" borderId="53" xfId="0" applyFont="1" applyFill="1" applyBorder="1"/>
    <xf numFmtId="0" fontId="41" fillId="27" borderId="53" xfId="0" applyFont="1" applyFill="1" applyBorder="1"/>
    <xf numFmtId="0" fontId="41" fillId="27" borderId="59" xfId="0" applyFont="1" applyFill="1" applyBorder="1"/>
    <xf numFmtId="0" fontId="6" fillId="26" borderId="57" xfId="0" applyFont="1" applyFill="1" applyBorder="1" applyAlignment="1">
      <alignment vertical="center"/>
    </xf>
    <xf numFmtId="10" fontId="6" fillId="26" borderId="57" xfId="0" applyNumberFormat="1" applyFont="1" applyFill="1" applyBorder="1" applyAlignment="1">
      <alignment vertical="center"/>
    </xf>
    <xf numFmtId="10" fontId="6" fillId="26" borderId="60" xfId="0" applyNumberFormat="1" applyFont="1" applyFill="1" applyBorder="1" applyAlignment="1">
      <alignment vertical="center"/>
    </xf>
    <xf numFmtId="0" fontId="8" fillId="0" borderId="55" xfId="0" applyFont="1" applyBorder="1" applyAlignment="1">
      <alignment vertical="top" wrapText="1"/>
    </xf>
    <xf numFmtId="0" fontId="8" fillId="0" borderId="10" xfId="0" applyFont="1" applyBorder="1" applyAlignment="1">
      <alignment vertical="top" wrapText="1"/>
    </xf>
    <xf numFmtId="0" fontId="8" fillId="26" borderId="57" xfId="0" applyFont="1" applyFill="1" applyBorder="1" applyAlignment="1">
      <alignment vertical="top" wrapText="1"/>
    </xf>
    <xf numFmtId="0" fontId="6" fillId="2" borderId="10" xfId="0" applyFont="1" applyFill="1" applyBorder="1" applyAlignment="1">
      <alignment vertical="center"/>
    </xf>
    <xf numFmtId="0" fontId="6" fillId="2" borderId="54" xfId="0" applyFont="1" applyFill="1" applyBorder="1" applyAlignment="1">
      <alignment horizontal="center" vertical="top"/>
    </xf>
    <xf numFmtId="0" fontId="8" fillId="2" borderId="10" xfId="0" applyFont="1" applyFill="1" applyBorder="1" applyAlignment="1">
      <alignment vertical="top" wrapText="1"/>
    </xf>
    <xf numFmtId="0" fontId="6" fillId="2" borderId="10" xfId="0" applyFont="1" applyFill="1" applyBorder="1" applyAlignment="1">
      <alignment horizontal="left" vertical="top"/>
    </xf>
    <xf numFmtId="0" fontId="6" fillId="2" borderId="10" xfId="0" applyFont="1" applyFill="1" applyBorder="1" applyAlignment="1">
      <alignment horizontal="left" vertical="top" wrapText="1"/>
    </xf>
    <xf numFmtId="0" fontId="9" fillId="2" borderId="10" xfId="0" applyFont="1" applyFill="1" applyBorder="1" applyAlignment="1">
      <alignment horizontal="center" vertical="center"/>
    </xf>
    <xf numFmtId="10" fontId="9" fillId="2" borderId="10" xfId="1" applyNumberFormat="1" applyFont="1" applyFill="1" applyBorder="1" applyAlignment="1">
      <alignment horizontal="center" vertical="center"/>
    </xf>
    <xf numFmtId="0" fontId="9" fillId="2" borderId="10" xfId="0" applyFont="1" applyFill="1" applyBorder="1" applyAlignment="1">
      <alignment horizontal="left" vertical="top" wrapText="1"/>
    </xf>
    <xf numFmtId="0" fontId="9" fillId="2" borderId="10" xfId="0" applyFont="1" applyFill="1" applyBorder="1" applyAlignment="1">
      <alignment vertical="center" wrapText="1"/>
    </xf>
    <xf numFmtId="10" fontId="8" fillId="2" borderId="10" xfId="0" applyNumberFormat="1" applyFont="1" applyFill="1" applyBorder="1" applyAlignment="1">
      <alignment horizontal="center" vertical="center"/>
    </xf>
    <xf numFmtId="0" fontId="6" fillId="2" borderId="10" xfId="0" applyFont="1" applyFill="1" applyBorder="1"/>
    <xf numFmtId="10" fontId="6" fillId="2" borderId="10" xfId="0" applyNumberFormat="1" applyFont="1" applyFill="1" applyBorder="1" applyAlignment="1">
      <alignment vertical="center"/>
    </xf>
    <xf numFmtId="10" fontId="6" fillId="2" borderId="58" xfId="0" applyNumberFormat="1" applyFont="1" applyFill="1" applyBorder="1" applyAlignment="1">
      <alignment vertical="center"/>
    </xf>
    <xf numFmtId="10" fontId="9" fillId="0" borderId="10" xfId="1" applyNumberFormat="1" applyFont="1" applyFill="1" applyBorder="1" applyAlignment="1">
      <alignment horizontal="center" vertical="center"/>
    </xf>
    <xf numFmtId="10" fontId="6" fillId="0" borderId="0" xfId="0" applyNumberFormat="1" applyFont="1" applyAlignment="1">
      <alignment horizontal="center" vertical="center"/>
    </xf>
    <xf numFmtId="10" fontId="6" fillId="0" borderId="0" xfId="0" applyNumberFormat="1" applyFont="1"/>
    <xf numFmtId="10" fontId="6" fillId="2" borderId="6" xfId="0" applyNumberFormat="1" applyFont="1" applyFill="1" applyBorder="1" applyAlignment="1">
      <alignment vertical="center"/>
    </xf>
    <xf numFmtId="0" fontId="11" fillId="0" borderId="0" xfId="0" applyFont="1" applyAlignment="1">
      <alignment horizontal="left" vertical="top" wrapText="1"/>
    </xf>
    <xf numFmtId="0" fontId="14" fillId="10" borderId="0" xfId="0" applyFont="1" applyFill="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0" fontId="5" fillId="2" borderId="5"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5" xfId="0" applyFont="1" applyFill="1" applyBorder="1" applyAlignment="1">
      <alignment horizontal="center" vertical="center"/>
    </xf>
    <xf numFmtId="0" fontId="0" fillId="0" borderId="11" xfId="0" applyBorder="1" applyAlignment="1" applyProtection="1">
      <alignment horizontal="left"/>
      <protection locked="0"/>
    </xf>
    <xf numFmtId="0" fontId="0" fillId="0" borderId="0" xfId="0" applyAlignment="1" applyProtection="1">
      <alignment horizontal="left"/>
      <protection locked="0"/>
    </xf>
    <xf numFmtId="0" fontId="25" fillId="0" borderId="0" xfId="0" applyFont="1" applyAlignment="1" applyProtection="1">
      <alignment horizontal="center" vertical="top" wrapText="1"/>
      <protection locked="0"/>
    </xf>
    <xf numFmtId="0" fontId="24"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27" fillId="12" borderId="11" xfId="0" applyFont="1" applyFill="1" applyBorder="1" applyAlignment="1" applyProtection="1">
      <alignment horizontal="center" vertical="center" wrapText="1"/>
      <protection locked="0"/>
    </xf>
    <xf numFmtId="0" fontId="27" fillId="12" borderId="0" xfId="0" applyFont="1" applyFill="1" applyAlignment="1" applyProtection="1">
      <alignment horizontal="center" vertical="center" wrapText="1"/>
      <protection locked="0"/>
    </xf>
    <xf numFmtId="0" fontId="24" fillId="0" borderId="0" xfId="0" quotePrefix="1" applyFont="1" applyAlignment="1" applyProtection="1">
      <alignment horizontal="left" vertical="top" wrapText="1"/>
      <protection locked="0"/>
    </xf>
    <xf numFmtId="0" fontId="0" fillId="0" borderId="0" xfId="0" applyAlignment="1" applyProtection="1">
      <alignment horizontal="left" vertical="top"/>
      <protection locked="0"/>
    </xf>
    <xf numFmtId="0" fontId="27" fillId="22" borderId="41" xfId="0" applyFont="1" applyFill="1" applyBorder="1" applyAlignment="1">
      <alignment horizontal="center" vertical="center"/>
    </xf>
    <xf numFmtId="0" fontId="27" fillId="22" borderId="50" xfId="0" applyFont="1" applyFill="1" applyBorder="1" applyAlignment="1">
      <alignment horizontal="center" vertical="center"/>
    </xf>
    <xf numFmtId="0" fontId="42" fillId="0" borderId="24" xfId="0" applyFont="1" applyBorder="1" applyAlignment="1">
      <alignment horizontal="right" vertical="center" wrapText="1"/>
    </xf>
    <xf numFmtId="0" fontId="42" fillId="0" borderId="0" xfId="0" applyFont="1" applyAlignment="1">
      <alignment horizontal="right" vertical="center" wrapText="1"/>
    </xf>
    <xf numFmtId="0" fontId="11" fillId="0" borderId="10"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11" fillId="0" borderId="34" xfId="0" applyFont="1" applyBorder="1" applyAlignment="1">
      <alignment horizontal="center" vertical="top" wrapText="1"/>
    </xf>
    <xf numFmtId="0" fontId="5" fillId="4" borderId="10" xfId="0" applyFont="1" applyFill="1" applyBorder="1" applyAlignment="1">
      <alignment horizontal="center" vertical="center"/>
    </xf>
    <xf numFmtId="0" fontId="11" fillId="0" borderId="0" xfId="0" applyFont="1" applyAlignment="1">
      <alignment horizontal="center" wrapText="1"/>
    </xf>
    <xf numFmtId="0" fontId="5" fillId="2" borderId="1" xfId="0" applyFont="1" applyFill="1" applyBorder="1" applyAlignment="1">
      <alignment horizontal="center" vertical="center" textRotation="90"/>
    </xf>
    <xf numFmtId="0" fontId="35" fillId="0" borderId="31" xfId="0" applyFont="1" applyBorder="1" applyAlignment="1">
      <alignment horizontal="center"/>
    </xf>
    <xf numFmtId="0" fontId="35" fillId="0" borderId="32" xfId="0" applyFont="1" applyBorder="1" applyAlignment="1">
      <alignment horizontal="center"/>
    </xf>
    <xf numFmtId="0" fontId="11" fillId="0" borderId="0" xfId="0" applyFont="1" applyAlignment="1">
      <alignment horizontal="center" vertical="top" wrapText="1"/>
    </xf>
  </cellXfs>
  <cellStyles count="2">
    <cellStyle name="Normal" xfId="0" builtinId="0"/>
    <cellStyle name="Percent" xfId="1" builtinId="5"/>
  </cellStyles>
  <dxfs count="341">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color rgb="FFC00000"/>
      </font>
      <fill>
        <patternFill>
          <bgColor rgb="FFFF5050"/>
        </patternFill>
      </fill>
    </dxf>
    <dxf>
      <font>
        <b/>
        <i val="0"/>
        <color theme="2" tint="-0.749961851863155"/>
      </font>
      <fill>
        <patternFill>
          <bgColor theme="2"/>
        </patternFill>
      </fill>
    </dxf>
    <dxf>
      <font>
        <color rgb="FFC00000"/>
      </font>
      <fill>
        <patternFill>
          <bgColor rgb="FFFF5050"/>
        </patternFill>
      </fill>
    </dxf>
    <dxf>
      <font>
        <color rgb="FFC00000"/>
      </font>
      <fill>
        <patternFill>
          <bgColor rgb="FFFF5050"/>
        </patternFill>
      </fill>
    </dxf>
    <dxf>
      <font>
        <color rgb="FF00B050"/>
      </font>
      <fill>
        <patternFill>
          <bgColor theme="9" tint="0.39994506668294322"/>
        </patternFill>
      </fill>
    </dxf>
    <dxf>
      <font>
        <color rgb="FFC00000"/>
      </font>
      <fill>
        <patternFill>
          <bgColor rgb="FFFF5050"/>
        </patternFill>
      </fill>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8"/>
        <color auto="1"/>
        <name val="Arial"/>
        <family val="2"/>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8"/>
        <color auto="1"/>
        <name val="Arial"/>
        <family val="2"/>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8"/>
        <name val="Arial"/>
        <family val="2"/>
        <scheme val="none"/>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8"/>
        <name val="Arial"/>
        <family val="2"/>
        <scheme val="none"/>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border>
    </dxf>
    <dxf>
      <border outline="0">
        <right style="medium">
          <color indexed="64"/>
        </right>
        <top style="medium">
          <color indexed="64"/>
        </top>
        <bottom style="medium">
          <color indexed="64"/>
        </bottom>
      </border>
    </dxf>
    <dxf>
      <font>
        <strike val="0"/>
        <outline val="0"/>
        <shadow val="0"/>
        <u val="none"/>
        <vertAlign val="baseline"/>
        <color auto="1"/>
        <name val="Arial"/>
        <family val="2"/>
        <scheme val="none"/>
      </font>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rgb="FF00000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rgb="FF00000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dxf>
    <dxf>
      <border>
        <bottom style="thin">
          <color indexed="64"/>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14" formatCode="0.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color auto="1"/>
        <name val="Arial"/>
        <family val="2"/>
        <scheme val="none"/>
      </font>
      <numFmt numFmtId="14" formatCode="0.0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Arial"/>
        <family val="2"/>
        <scheme val="none"/>
      </font>
      <border diagonalUp="0" diagonalDown="0" outline="0">
        <left/>
        <right style="thin">
          <color indexed="64"/>
        </right>
        <top style="thin">
          <color indexed="64"/>
        </top>
        <bottom style="thin">
          <color indexed="64"/>
        </bottom>
      </border>
      <protection locked="0" hidden="0"/>
    </dxf>
    <dxf>
      <font>
        <i val="0"/>
        <strike val="0"/>
        <outline val="0"/>
        <shadow val="0"/>
        <u val="none"/>
        <vertAlign val="baseline"/>
        <sz val="9"/>
        <name val="Arial"/>
        <family val="2"/>
        <scheme val="none"/>
      </font>
      <border diagonalUp="0" diagonalDown="0" outline="0">
        <left/>
        <right style="thin">
          <color indexed="64"/>
        </right>
        <top style="thin">
          <color indexed="64"/>
        </top>
        <bottom style="thin">
          <color indexed="64"/>
        </bottom>
      </border>
      <protection locked="0" hidden="0"/>
    </dxf>
    <dxf>
      <font>
        <i val="0"/>
        <strike val="0"/>
        <outline val="0"/>
        <shadow val="0"/>
        <u val="none"/>
        <vertAlign val="baseline"/>
        <sz val="9"/>
        <name val="Arial"/>
        <family val="2"/>
        <scheme val="none"/>
      </font>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9"/>
        <name val="Arial"/>
        <family val="2"/>
        <scheme val="none"/>
      </font>
      <alignment horizontal="center" vertical="center" textRotation="0" wrapText="0" indent="0" justifyLastLine="0" shrinkToFit="0" readingOrder="0"/>
      <border diagonalUp="0" diagonalDown="0" outline="0">
        <left/>
        <right/>
        <top style="thin">
          <color indexed="64"/>
        </top>
        <bottom style="thin">
          <color indexed="64"/>
        </bottom>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9"/>
        <name val="Arial"/>
        <family val="2"/>
        <scheme val="none"/>
      </font>
    </dxf>
    <dxf>
      <border>
        <bottom style="thin">
          <color rgb="FF000000"/>
        </bottom>
      </border>
    </dxf>
    <dxf>
      <font>
        <strike val="0"/>
        <outline val="0"/>
        <shadow val="0"/>
        <u val="none"/>
        <vertAlign val="baseline"/>
        <sz val="9"/>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1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Arial"/>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rgb="FF002060"/>
        <name val="Arial"/>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2060"/>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right style="thin">
          <color indexed="64"/>
        </right>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9"/>
        <color theme="1"/>
        <name val="Arial"/>
        <family val="2"/>
        <scheme val="none"/>
      </font>
      <border diagonalUp="0" diagonalDown="0" outline="0">
        <left style="thin">
          <color indexed="64"/>
        </left>
        <right style="thin">
          <color indexed="64"/>
        </right>
        <top/>
        <bottom/>
      </border>
    </dxf>
  </dxfs>
  <tableStyles count="0" defaultTableStyle="TableStyleMedium2" defaultPivotStyle="PivotStyleLight16"/>
  <colors>
    <mruColors>
      <color rgb="FF6666FF"/>
      <color rgb="FF0000C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5511"/>
    <xdr:pic>
      <xdr:nvPicPr>
        <xdr:cNvPr id="2" name="Picture 1" hidden="1">
          <a:extLst>
            <a:ext uri="{FF2B5EF4-FFF2-40B4-BE49-F238E27FC236}">
              <a16:creationId xmlns:a16="http://schemas.microsoft.com/office/drawing/2014/main" id="{40081B74-8FE6-43F0-A799-B40FB58426BD}"/>
            </a:ext>
          </a:extLst>
        </xdr:cNvPr>
        <xdr:cNvPicPr>
          <a:picLocks noChangeAspect="1"/>
        </xdr:cNvPicPr>
      </xdr:nvPicPr>
      <xdr:blipFill>
        <a:blip xmlns:r="http://schemas.openxmlformats.org/officeDocument/2006/relationships" r:embed="rId1"/>
        <a:stretch>
          <a:fillRect/>
        </a:stretch>
      </xdr:blipFill>
      <xdr:spPr>
        <a:xfrm>
          <a:off x="15107976" y="3705225"/>
          <a:ext cx="1553154" cy="445511"/>
        </a:xfrm>
        <a:prstGeom prst="rect">
          <a:avLst/>
        </a:prstGeom>
      </xdr:spPr>
    </xdr:pic>
    <xdr:clientData/>
  </xdr:oneCellAnchor>
  <xdr:oneCellAnchor>
    <xdr:from>
      <xdr:col>12</xdr:col>
      <xdr:colOff>944301</xdr:colOff>
      <xdr:row>9</xdr:row>
      <xdr:rowOff>0</xdr:rowOff>
    </xdr:from>
    <xdr:ext cx="1553154" cy="443183"/>
    <xdr:pic>
      <xdr:nvPicPr>
        <xdr:cNvPr id="3" name="Picture 2" hidden="1">
          <a:extLst>
            <a:ext uri="{FF2B5EF4-FFF2-40B4-BE49-F238E27FC236}">
              <a16:creationId xmlns:a16="http://schemas.microsoft.com/office/drawing/2014/main" id="{0E9C3B76-FF65-41A2-BDF2-04C0EFF03DFF}"/>
            </a:ext>
          </a:extLst>
        </xdr:cNvPr>
        <xdr:cNvPicPr>
          <a:picLocks noChangeAspect="1"/>
        </xdr:cNvPicPr>
      </xdr:nvPicPr>
      <xdr:blipFill>
        <a:blip xmlns:r="http://schemas.openxmlformats.org/officeDocument/2006/relationships" r:embed="rId1"/>
        <a:stretch>
          <a:fillRect/>
        </a:stretch>
      </xdr:blipFill>
      <xdr:spPr>
        <a:xfrm>
          <a:off x="15107976" y="3705225"/>
          <a:ext cx="1553154" cy="443183"/>
        </a:xfrm>
        <a:prstGeom prst="rect">
          <a:avLst/>
        </a:prstGeom>
      </xdr:spPr>
    </xdr:pic>
    <xdr:clientData/>
  </xdr:oneCellAnchor>
  <xdr:oneCellAnchor>
    <xdr:from>
      <xdr:col>12</xdr:col>
      <xdr:colOff>944301</xdr:colOff>
      <xdr:row>9</xdr:row>
      <xdr:rowOff>0</xdr:rowOff>
    </xdr:from>
    <xdr:ext cx="1553154" cy="498428"/>
    <xdr:pic>
      <xdr:nvPicPr>
        <xdr:cNvPr id="4" name="Picture 3" hidden="1">
          <a:extLst>
            <a:ext uri="{FF2B5EF4-FFF2-40B4-BE49-F238E27FC236}">
              <a16:creationId xmlns:a16="http://schemas.microsoft.com/office/drawing/2014/main" id="{65943288-E21A-4B6B-9460-8BB2E3FC2F8D}"/>
            </a:ext>
          </a:extLst>
        </xdr:cNvPr>
        <xdr:cNvPicPr>
          <a:picLocks noChangeAspect="1"/>
        </xdr:cNvPicPr>
      </xdr:nvPicPr>
      <xdr:blipFill>
        <a:blip xmlns:r="http://schemas.openxmlformats.org/officeDocument/2006/relationships" r:embed="rId1"/>
        <a:stretch>
          <a:fillRect/>
        </a:stretch>
      </xdr:blipFill>
      <xdr:spPr>
        <a:xfrm>
          <a:off x="15107976" y="3705225"/>
          <a:ext cx="1553154" cy="498428"/>
        </a:xfrm>
        <a:prstGeom prst="rect">
          <a:avLst/>
        </a:prstGeom>
      </xdr:spPr>
    </xdr:pic>
    <xdr:clientData/>
  </xdr:oneCellAnchor>
  <xdr:twoCellAnchor>
    <xdr:from>
      <xdr:col>2</xdr:col>
      <xdr:colOff>2040255</xdr:colOff>
      <xdr:row>12</xdr:row>
      <xdr:rowOff>306161</xdr:rowOff>
    </xdr:from>
    <xdr:to>
      <xdr:col>3</xdr:col>
      <xdr:colOff>1973036</xdr:colOff>
      <xdr:row>12</xdr:row>
      <xdr:rowOff>312420</xdr:rowOff>
    </xdr:to>
    <xdr:cxnSp macro="">
      <xdr:nvCxnSpPr>
        <xdr:cNvPr id="5" name="Straight Arrow Connector 4">
          <a:extLst>
            <a:ext uri="{FF2B5EF4-FFF2-40B4-BE49-F238E27FC236}">
              <a16:creationId xmlns:a16="http://schemas.microsoft.com/office/drawing/2014/main" id="{F13F682C-B844-4073-A0E8-FEA4699AEE05}"/>
            </a:ext>
          </a:extLst>
        </xdr:cNvPr>
        <xdr:cNvCxnSpPr/>
      </xdr:nvCxnSpPr>
      <xdr:spPr>
        <a:xfrm flipH="1">
          <a:off x="4965791" y="4490357"/>
          <a:ext cx="1973852" cy="6259"/>
        </a:xfrm>
        <a:prstGeom prst="straightConnector1">
          <a:avLst/>
        </a:prstGeom>
        <a:ln w="254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3876</xdr:colOff>
      <xdr:row>14</xdr:row>
      <xdr:rowOff>441960</xdr:rowOff>
    </xdr:from>
    <xdr:to>
      <xdr:col>3</xdr:col>
      <xdr:colOff>1996966</xdr:colOff>
      <xdr:row>14</xdr:row>
      <xdr:rowOff>446690</xdr:rowOff>
    </xdr:to>
    <xdr:cxnSp macro="">
      <xdr:nvCxnSpPr>
        <xdr:cNvPr id="6" name="Straight Arrow Connector 5">
          <a:extLst>
            <a:ext uri="{FF2B5EF4-FFF2-40B4-BE49-F238E27FC236}">
              <a16:creationId xmlns:a16="http://schemas.microsoft.com/office/drawing/2014/main" id="{7CADEDFB-7743-4242-B5BA-C3CC5D75CB4A}"/>
            </a:ext>
          </a:extLst>
        </xdr:cNvPr>
        <xdr:cNvCxnSpPr/>
      </xdr:nvCxnSpPr>
      <xdr:spPr>
        <a:xfrm flipH="1" flipV="1">
          <a:off x="4950307" y="5368684"/>
          <a:ext cx="1993090" cy="4730"/>
        </a:xfrm>
        <a:prstGeom prst="straightConnector1">
          <a:avLst/>
        </a:prstGeom>
        <a:ln w="254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944301</xdr:colOff>
      <xdr:row>24</xdr:row>
      <xdr:rowOff>0</xdr:rowOff>
    </xdr:from>
    <xdr:ext cx="1553154" cy="445511"/>
    <xdr:pic>
      <xdr:nvPicPr>
        <xdr:cNvPr id="7" name="Picture 6" hidden="1">
          <a:extLst>
            <a:ext uri="{FF2B5EF4-FFF2-40B4-BE49-F238E27FC236}">
              <a16:creationId xmlns:a16="http://schemas.microsoft.com/office/drawing/2014/main" id="{C07580C3-5596-4785-9873-9B3B9C42E741}"/>
            </a:ext>
          </a:extLst>
        </xdr:cNvPr>
        <xdr:cNvPicPr>
          <a:picLocks noChangeAspect="1"/>
        </xdr:cNvPicPr>
      </xdr:nvPicPr>
      <xdr:blipFill>
        <a:blip xmlns:r="http://schemas.openxmlformats.org/officeDocument/2006/relationships" r:embed="rId1"/>
        <a:stretch>
          <a:fillRect/>
        </a:stretch>
      </xdr:blipFill>
      <xdr:spPr>
        <a:xfrm>
          <a:off x="15107976" y="10315575"/>
          <a:ext cx="1553154" cy="445511"/>
        </a:xfrm>
        <a:prstGeom prst="rect">
          <a:avLst/>
        </a:prstGeom>
      </xdr:spPr>
    </xdr:pic>
    <xdr:clientData/>
  </xdr:oneCellAnchor>
  <xdr:oneCellAnchor>
    <xdr:from>
      <xdr:col>12</xdr:col>
      <xdr:colOff>944301</xdr:colOff>
      <xdr:row>24</xdr:row>
      <xdr:rowOff>0</xdr:rowOff>
    </xdr:from>
    <xdr:ext cx="1553154" cy="443183"/>
    <xdr:pic>
      <xdr:nvPicPr>
        <xdr:cNvPr id="8" name="Picture 7" hidden="1">
          <a:extLst>
            <a:ext uri="{FF2B5EF4-FFF2-40B4-BE49-F238E27FC236}">
              <a16:creationId xmlns:a16="http://schemas.microsoft.com/office/drawing/2014/main" id="{01F107F8-9C83-48FB-A51B-0B5C230B8C06}"/>
            </a:ext>
          </a:extLst>
        </xdr:cNvPr>
        <xdr:cNvPicPr>
          <a:picLocks noChangeAspect="1"/>
        </xdr:cNvPicPr>
      </xdr:nvPicPr>
      <xdr:blipFill>
        <a:blip xmlns:r="http://schemas.openxmlformats.org/officeDocument/2006/relationships" r:embed="rId1"/>
        <a:stretch>
          <a:fillRect/>
        </a:stretch>
      </xdr:blipFill>
      <xdr:spPr>
        <a:xfrm>
          <a:off x="15107976" y="10315575"/>
          <a:ext cx="1553154" cy="443183"/>
        </a:xfrm>
        <a:prstGeom prst="rect">
          <a:avLst/>
        </a:prstGeom>
      </xdr:spPr>
    </xdr:pic>
    <xdr:clientData/>
  </xdr:oneCellAnchor>
  <xdr:oneCellAnchor>
    <xdr:from>
      <xdr:col>12</xdr:col>
      <xdr:colOff>944301</xdr:colOff>
      <xdr:row>24</xdr:row>
      <xdr:rowOff>0</xdr:rowOff>
    </xdr:from>
    <xdr:ext cx="1553154" cy="498428"/>
    <xdr:pic>
      <xdr:nvPicPr>
        <xdr:cNvPr id="9" name="Picture 8" hidden="1">
          <a:extLst>
            <a:ext uri="{FF2B5EF4-FFF2-40B4-BE49-F238E27FC236}">
              <a16:creationId xmlns:a16="http://schemas.microsoft.com/office/drawing/2014/main" id="{E9966A76-1417-4285-B285-BFD64F5B32E6}"/>
            </a:ext>
          </a:extLst>
        </xdr:cNvPr>
        <xdr:cNvPicPr>
          <a:picLocks noChangeAspect="1"/>
        </xdr:cNvPicPr>
      </xdr:nvPicPr>
      <xdr:blipFill>
        <a:blip xmlns:r="http://schemas.openxmlformats.org/officeDocument/2006/relationships" r:embed="rId1"/>
        <a:stretch>
          <a:fillRect/>
        </a:stretch>
      </xdr:blipFill>
      <xdr:spPr>
        <a:xfrm>
          <a:off x="15107976" y="10315575"/>
          <a:ext cx="1553154" cy="498428"/>
        </a:xfrm>
        <a:prstGeom prst="rect">
          <a:avLst/>
        </a:prstGeom>
      </xdr:spPr>
    </xdr:pic>
    <xdr:clientData/>
  </xdr:oneCellAnchor>
  <xdr:oneCellAnchor>
    <xdr:from>
      <xdr:col>12</xdr:col>
      <xdr:colOff>944301</xdr:colOff>
      <xdr:row>16</xdr:row>
      <xdr:rowOff>0</xdr:rowOff>
    </xdr:from>
    <xdr:ext cx="1553154" cy="444818"/>
    <xdr:pic>
      <xdr:nvPicPr>
        <xdr:cNvPr id="22" name="Picture 21" hidden="1">
          <a:extLst>
            <a:ext uri="{FF2B5EF4-FFF2-40B4-BE49-F238E27FC236}">
              <a16:creationId xmlns:a16="http://schemas.microsoft.com/office/drawing/2014/main" id="{267C7530-D338-4F6C-BBAB-EF0D09566E25}"/>
            </a:ext>
          </a:extLst>
        </xdr:cNvPr>
        <xdr:cNvPicPr>
          <a:picLocks noChangeAspect="1"/>
        </xdr:cNvPicPr>
      </xdr:nvPicPr>
      <xdr:blipFill>
        <a:blip xmlns:r="http://schemas.openxmlformats.org/officeDocument/2006/relationships" r:embed="rId1"/>
        <a:stretch>
          <a:fillRect/>
        </a:stretch>
      </xdr:blipFill>
      <xdr:spPr>
        <a:xfrm>
          <a:off x="15955701" y="2524125"/>
          <a:ext cx="1553154" cy="444818"/>
        </a:xfrm>
        <a:prstGeom prst="rect">
          <a:avLst/>
        </a:prstGeom>
      </xdr:spPr>
    </xdr:pic>
    <xdr:clientData/>
  </xdr:oneCellAnchor>
  <xdr:oneCellAnchor>
    <xdr:from>
      <xdr:col>12</xdr:col>
      <xdr:colOff>944301</xdr:colOff>
      <xdr:row>16</xdr:row>
      <xdr:rowOff>0</xdr:rowOff>
    </xdr:from>
    <xdr:ext cx="1549344" cy="446300"/>
    <xdr:pic>
      <xdr:nvPicPr>
        <xdr:cNvPr id="23" name="Picture 22" hidden="1">
          <a:extLst>
            <a:ext uri="{FF2B5EF4-FFF2-40B4-BE49-F238E27FC236}">
              <a16:creationId xmlns:a16="http://schemas.microsoft.com/office/drawing/2014/main" id="{3D8FFF8E-53AE-4E04-8DA4-4310CAF06B6B}"/>
            </a:ext>
          </a:extLst>
        </xdr:cNvPr>
        <xdr:cNvPicPr>
          <a:picLocks noChangeAspect="1"/>
        </xdr:cNvPicPr>
      </xdr:nvPicPr>
      <xdr:blipFill>
        <a:blip xmlns:r="http://schemas.openxmlformats.org/officeDocument/2006/relationships" r:embed="rId1"/>
        <a:stretch>
          <a:fillRect/>
        </a:stretch>
      </xdr:blipFill>
      <xdr:spPr>
        <a:xfrm>
          <a:off x="15955701" y="2524125"/>
          <a:ext cx="1549344" cy="446300"/>
        </a:xfrm>
        <a:prstGeom prst="rect">
          <a:avLst/>
        </a:prstGeom>
      </xdr:spPr>
    </xdr:pic>
    <xdr:clientData/>
  </xdr:oneCellAnchor>
  <xdr:oneCellAnchor>
    <xdr:from>
      <xdr:col>12</xdr:col>
      <xdr:colOff>944301</xdr:colOff>
      <xdr:row>16</xdr:row>
      <xdr:rowOff>0</xdr:rowOff>
    </xdr:from>
    <xdr:ext cx="1549344" cy="494964"/>
    <xdr:pic>
      <xdr:nvPicPr>
        <xdr:cNvPr id="24" name="Picture 23" hidden="1">
          <a:extLst>
            <a:ext uri="{FF2B5EF4-FFF2-40B4-BE49-F238E27FC236}">
              <a16:creationId xmlns:a16="http://schemas.microsoft.com/office/drawing/2014/main" id="{6C18CC3C-8B49-42D6-91BE-19DCF5C9D755}"/>
            </a:ext>
          </a:extLst>
        </xdr:cNvPr>
        <xdr:cNvPicPr>
          <a:picLocks noChangeAspect="1"/>
        </xdr:cNvPicPr>
      </xdr:nvPicPr>
      <xdr:blipFill>
        <a:blip xmlns:r="http://schemas.openxmlformats.org/officeDocument/2006/relationships" r:embed="rId1"/>
        <a:stretch>
          <a:fillRect/>
        </a:stretch>
      </xdr:blipFill>
      <xdr:spPr>
        <a:xfrm>
          <a:off x="15955701" y="2524125"/>
          <a:ext cx="1549344" cy="494964"/>
        </a:xfrm>
        <a:prstGeom prst="rect">
          <a:avLst/>
        </a:prstGeom>
      </xdr:spPr>
    </xdr:pic>
    <xdr:clientData/>
  </xdr:oneCellAnchor>
  <xdr:oneCellAnchor>
    <xdr:from>
      <xdr:col>23</xdr:col>
      <xdr:colOff>944301</xdr:colOff>
      <xdr:row>16</xdr:row>
      <xdr:rowOff>0</xdr:rowOff>
    </xdr:from>
    <xdr:ext cx="1553154" cy="444818"/>
    <xdr:pic>
      <xdr:nvPicPr>
        <xdr:cNvPr id="25" name="Picture 24" hidden="1">
          <a:extLst>
            <a:ext uri="{FF2B5EF4-FFF2-40B4-BE49-F238E27FC236}">
              <a16:creationId xmlns:a16="http://schemas.microsoft.com/office/drawing/2014/main" id="{F80D6091-E355-4302-A3B3-E8DF1364AE49}"/>
            </a:ext>
          </a:extLst>
        </xdr:cNvPr>
        <xdr:cNvPicPr>
          <a:picLocks noChangeAspect="1"/>
        </xdr:cNvPicPr>
      </xdr:nvPicPr>
      <xdr:blipFill>
        <a:blip xmlns:r="http://schemas.openxmlformats.org/officeDocument/2006/relationships" r:embed="rId1"/>
        <a:stretch>
          <a:fillRect/>
        </a:stretch>
      </xdr:blipFill>
      <xdr:spPr>
        <a:xfrm>
          <a:off x="16325850" y="2524125"/>
          <a:ext cx="1553154" cy="444818"/>
        </a:xfrm>
        <a:prstGeom prst="rect">
          <a:avLst/>
        </a:prstGeom>
      </xdr:spPr>
    </xdr:pic>
    <xdr:clientData/>
  </xdr:oneCellAnchor>
  <xdr:oneCellAnchor>
    <xdr:from>
      <xdr:col>23</xdr:col>
      <xdr:colOff>944301</xdr:colOff>
      <xdr:row>16</xdr:row>
      <xdr:rowOff>0</xdr:rowOff>
    </xdr:from>
    <xdr:ext cx="1549344" cy="446300"/>
    <xdr:pic>
      <xdr:nvPicPr>
        <xdr:cNvPr id="26" name="Picture 25" hidden="1">
          <a:extLst>
            <a:ext uri="{FF2B5EF4-FFF2-40B4-BE49-F238E27FC236}">
              <a16:creationId xmlns:a16="http://schemas.microsoft.com/office/drawing/2014/main" id="{3C2A4771-2942-496B-9BA4-BD7D92F785E5}"/>
            </a:ext>
          </a:extLst>
        </xdr:cNvPr>
        <xdr:cNvPicPr>
          <a:picLocks noChangeAspect="1"/>
        </xdr:cNvPicPr>
      </xdr:nvPicPr>
      <xdr:blipFill>
        <a:blip xmlns:r="http://schemas.openxmlformats.org/officeDocument/2006/relationships" r:embed="rId1"/>
        <a:stretch>
          <a:fillRect/>
        </a:stretch>
      </xdr:blipFill>
      <xdr:spPr>
        <a:xfrm>
          <a:off x="16325850" y="2524125"/>
          <a:ext cx="1549344" cy="446300"/>
        </a:xfrm>
        <a:prstGeom prst="rect">
          <a:avLst/>
        </a:prstGeom>
      </xdr:spPr>
    </xdr:pic>
    <xdr:clientData/>
  </xdr:oneCellAnchor>
  <xdr:oneCellAnchor>
    <xdr:from>
      <xdr:col>23</xdr:col>
      <xdr:colOff>944301</xdr:colOff>
      <xdr:row>16</xdr:row>
      <xdr:rowOff>0</xdr:rowOff>
    </xdr:from>
    <xdr:ext cx="1549344" cy="494964"/>
    <xdr:pic>
      <xdr:nvPicPr>
        <xdr:cNvPr id="27" name="Picture 26" hidden="1">
          <a:extLst>
            <a:ext uri="{FF2B5EF4-FFF2-40B4-BE49-F238E27FC236}">
              <a16:creationId xmlns:a16="http://schemas.microsoft.com/office/drawing/2014/main" id="{7944E30F-1071-4C20-A3A2-94471DF56CC0}"/>
            </a:ext>
          </a:extLst>
        </xdr:cNvPr>
        <xdr:cNvPicPr>
          <a:picLocks noChangeAspect="1"/>
        </xdr:cNvPicPr>
      </xdr:nvPicPr>
      <xdr:blipFill>
        <a:blip xmlns:r="http://schemas.openxmlformats.org/officeDocument/2006/relationships" r:embed="rId1"/>
        <a:stretch>
          <a:fillRect/>
        </a:stretch>
      </xdr:blipFill>
      <xdr:spPr>
        <a:xfrm>
          <a:off x="16325850" y="2524125"/>
          <a:ext cx="1549344" cy="49496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106257</xdr:colOff>
      <xdr:row>17</xdr:row>
      <xdr:rowOff>1691</xdr:rowOff>
    </xdr:from>
    <xdr:to>
      <xdr:col>11</xdr:col>
      <xdr:colOff>0</xdr:colOff>
      <xdr:row>20</xdr:row>
      <xdr:rowOff>10583</xdr:rowOff>
    </xdr:to>
    <xdr:sp macro="" textlink="">
      <xdr:nvSpPr>
        <xdr:cNvPr id="2" name="TextBox 1">
          <a:extLst>
            <a:ext uri="{FF2B5EF4-FFF2-40B4-BE49-F238E27FC236}">
              <a16:creationId xmlns:a16="http://schemas.microsoft.com/office/drawing/2014/main" id="{BAC1172B-2B05-4C45-988A-8D80E461B2FE}"/>
            </a:ext>
          </a:extLst>
        </xdr:cNvPr>
        <xdr:cNvSpPr txBox="1"/>
      </xdr:nvSpPr>
      <xdr:spPr>
        <a:xfrm>
          <a:off x="212514" y="3144941"/>
          <a:ext cx="17465886" cy="3256917"/>
        </a:xfrm>
        <a:prstGeom prst="rect">
          <a:avLst/>
        </a:prstGeom>
        <a:solidFill>
          <a:sysClr val="window" lastClr="FFFFFF"/>
        </a:solidFill>
        <a:ln w="9525" cmpd="sng">
          <a:solidFill>
            <a:sysClr val="window" lastClr="FFFFFF">
              <a:shade val="50000"/>
            </a:sysClr>
          </a:solidFill>
        </a:ln>
        <a:effectLst/>
      </xdr:spPr>
      <xdr:txBody>
        <a:bodyPr wrap="square" rtlCol="0" anchor="t"/>
        <a:lstStyle>
          <a:defPPr>
            <a:defRPr lang="en-US"/>
          </a:defPPr>
          <a:lvl1pPr marL="0" algn="l" defTabSz="914400" rtl="0" eaLnBrk="1" latinLnBrk="0" hangingPunct="1">
            <a:defRPr sz="1800" kern="1200">
              <a:solidFill>
                <a:srgbClr val="003896"/>
              </a:solidFill>
              <a:latin typeface="Arial" panose="020B0604020202020204"/>
            </a:defRPr>
          </a:lvl1pPr>
          <a:lvl2pPr marL="457200" algn="l" defTabSz="914400" rtl="0" eaLnBrk="1" latinLnBrk="0" hangingPunct="1">
            <a:defRPr sz="1800" kern="1200">
              <a:solidFill>
                <a:srgbClr val="003896"/>
              </a:solidFill>
              <a:latin typeface="Arial" panose="020B0604020202020204"/>
            </a:defRPr>
          </a:lvl2pPr>
          <a:lvl3pPr marL="914400" algn="l" defTabSz="914400" rtl="0" eaLnBrk="1" latinLnBrk="0" hangingPunct="1">
            <a:defRPr sz="1800" kern="1200">
              <a:solidFill>
                <a:srgbClr val="003896"/>
              </a:solidFill>
              <a:latin typeface="Arial" panose="020B0604020202020204"/>
            </a:defRPr>
          </a:lvl3pPr>
          <a:lvl4pPr marL="1371600" algn="l" defTabSz="914400" rtl="0" eaLnBrk="1" latinLnBrk="0" hangingPunct="1">
            <a:defRPr sz="1800" kern="1200">
              <a:solidFill>
                <a:srgbClr val="003896"/>
              </a:solidFill>
              <a:latin typeface="Arial" panose="020B0604020202020204"/>
            </a:defRPr>
          </a:lvl4pPr>
          <a:lvl5pPr marL="1828800" algn="l" defTabSz="914400" rtl="0" eaLnBrk="1" latinLnBrk="0" hangingPunct="1">
            <a:defRPr sz="1800" kern="1200">
              <a:solidFill>
                <a:srgbClr val="003896"/>
              </a:solidFill>
              <a:latin typeface="Arial" panose="020B0604020202020204"/>
            </a:defRPr>
          </a:lvl5pPr>
          <a:lvl6pPr marL="2286000" algn="l" defTabSz="914400" rtl="0" eaLnBrk="1" latinLnBrk="0" hangingPunct="1">
            <a:defRPr sz="1800" kern="1200">
              <a:solidFill>
                <a:srgbClr val="003896"/>
              </a:solidFill>
              <a:latin typeface="Arial" panose="020B0604020202020204"/>
            </a:defRPr>
          </a:lvl6pPr>
          <a:lvl7pPr marL="2743200" algn="l" defTabSz="914400" rtl="0" eaLnBrk="1" latinLnBrk="0" hangingPunct="1">
            <a:defRPr sz="1800" kern="1200">
              <a:solidFill>
                <a:srgbClr val="003896"/>
              </a:solidFill>
              <a:latin typeface="Arial" panose="020B0604020202020204"/>
            </a:defRPr>
          </a:lvl7pPr>
          <a:lvl8pPr marL="3200400" algn="l" defTabSz="914400" rtl="0" eaLnBrk="1" latinLnBrk="0" hangingPunct="1">
            <a:defRPr sz="1800" kern="1200">
              <a:solidFill>
                <a:srgbClr val="003896"/>
              </a:solidFill>
              <a:latin typeface="Arial" panose="020B0604020202020204"/>
            </a:defRPr>
          </a:lvl8pPr>
          <a:lvl9pPr marL="3657600" algn="l" defTabSz="914400" rtl="0" eaLnBrk="1" latinLnBrk="0" hangingPunct="1">
            <a:defRPr sz="1800" kern="1200">
              <a:solidFill>
                <a:srgbClr val="003896"/>
              </a:solidFill>
              <a:latin typeface="Arial" panose="020B0604020202020204"/>
            </a:defRPr>
          </a:lvl9pPr>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Each Tab/worksheet describes the technical requirements under the green heading, these include the business requirements and the mandatory returnables a vendor must provide as evidence that they can meet the business requirements.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vendor may only complete the three columns with orange headings, according to the instructions in the column heading.</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columns with blue headings are for internal Eskom 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rgbClr val="ED7D31">
                <a:lumMod val="75000"/>
              </a:srgbClr>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1: A tenderer must meet or exceed the listed threshold in order to pass. Any tenderer who does not meet the minimum threshold will be disqualified from the tender process.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2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2: All mandatory returnables/evidence listed in this criteria must be included in the tender submission. Returnables must be clearly marked in the technical file and numbered to align with each criteria question. </a:t>
          </a:r>
          <a:r>
            <a:rPr kumimoji="0" lang="en-ZA" sz="1200" b="1" i="0" u="sng" strike="noStrike" kern="0" cap="none" spc="0" normalizeH="0" baseline="0">
              <a:ln>
                <a:noFill/>
              </a:ln>
              <a:solidFill>
                <a:sysClr val="windowText" lastClr="000000"/>
              </a:solidFill>
              <a:effectLst/>
              <a:uLnTx/>
              <a:uFillTx/>
              <a:latin typeface="Calibri" panose="020F0502020204030204"/>
            </a:rPr>
            <a:t>Points will not be allocated for questions where no returnables/evidence has been provided.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Only vendors who pass the desktop evaluation threshold will be invited for a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Eskom will not reimburse vendors for time spent preparing for or presenting their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demonstration tab describes the business requirements and what what needs to be presented if a vendor is invited for a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threshold to pass the demonstration is stated in the scoring summary tab</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1" i="0" u="none" strike="noStrike" kern="0" cap="none" spc="0" normalizeH="0" baseline="0" noProof="0">
            <a:ln>
              <a:noFill/>
            </a:ln>
            <a:solidFill>
              <a:srgbClr val="ED7D31">
                <a:lumMod val="75000"/>
              </a:srgbClr>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100" b="1" i="0" u="none" strike="noStrike" kern="0" cap="none" spc="0" normalizeH="0" baseline="0">
              <a:ln>
                <a:noFill/>
              </a:ln>
              <a:solidFill>
                <a:sysClr val="windowText" lastClr="000000"/>
              </a:solidFill>
              <a:effectLst/>
              <a:uLnTx/>
              <a:uFillTx/>
              <a:latin typeface="Calibri" panose="020F0502020204030204"/>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4</xdr:col>
      <xdr:colOff>657225</xdr:colOff>
      <xdr:row>0</xdr:row>
      <xdr:rowOff>161925</xdr:rowOff>
    </xdr:from>
    <xdr:ext cx="1352550" cy="447416"/>
    <xdr:pic>
      <xdr:nvPicPr>
        <xdr:cNvPr id="3" name="Picture 2">
          <a:extLst>
            <a:ext uri="{FF2B5EF4-FFF2-40B4-BE49-F238E27FC236}">
              <a16:creationId xmlns:a16="http://schemas.microsoft.com/office/drawing/2014/main" id="{44565A53-AB0E-4D5F-8828-B16DC7649731}"/>
            </a:ext>
          </a:extLst>
        </xdr:cNvPr>
        <xdr:cNvPicPr>
          <a:picLocks noChangeAspect="1"/>
        </xdr:cNvPicPr>
      </xdr:nvPicPr>
      <xdr:blipFill>
        <a:blip xmlns:r="http://schemas.openxmlformats.org/officeDocument/2006/relationships" r:embed="rId1"/>
        <a:stretch>
          <a:fillRect/>
        </a:stretch>
      </xdr:blipFill>
      <xdr:spPr>
        <a:xfrm>
          <a:off x="7343775" y="161925"/>
          <a:ext cx="1352550" cy="44741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2DD0CF42-7AF7-48B5-BE31-9A5D73751CBA}"/>
            </a:ext>
          </a:extLst>
        </xdr:cNvPr>
        <xdr:cNvPicPr>
          <a:picLocks noChangeAspect="1"/>
        </xdr:cNvPicPr>
      </xdr:nvPicPr>
      <xdr:blipFill>
        <a:blip xmlns:r="http://schemas.openxmlformats.org/officeDocument/2006/relationships" r:embed="rId1"/>
        <a:stretch>
          <a:fillRect/>
        </a:stretch>
      </xdr:blipFill>
      <xdr:spPr>
        <a:xfrm>
          <a:off x="15612801" y="1371600"/>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B52082D7-8565-407D-81DD-D915CA56ACAC}"/>
            </a:ext>
          </a:extLst>
        </xdr:cNvPr>
        <xdr:cNvPicPr>
          <a:picLocks noChangeAspect="1"/>
        </xdr:cNvPicPr>
      </xdr:nvPicPr>
      <xdr:blipFill>
        <a:blip xmlns:r="http://schemas.openxmlformats.org/officeDocument/2006/relationships" r:embed="rId1"/>
        <a:stretch>
          <a:fillRect/>
        </a:stretch>
      </xdr:blipFill>
      <xdr:spPr>
        <a:xfrm>
          <a:off x="15612801" y="1371600"/>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9F27E101-A2CF-46EA-B2CF-2B40383055C3}"/>
            </a:ext>
          </a:extLst>
        </xdr:cNvPr>
        <xdr:cNvPicPr>
          <a:picLocks noChangeAspect="1"/>
        </xdr:cNvPicPr>
      </xdr:nvPicPr>
      <xdr:blipFill>
        <a:blip xmlns:r="http://schemas.openxmlformats.org/officeDocument/2006/relationships" r:embed="rId1"/>
        <a:stretch>
          <a:fillRect/>
        </a:stretch>
      </xdr:blipFill>
      <xdr:spPr>
        <a:xfrm>
          <a:off x="15612801" y="1371600"/>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E792FC8C-FABF-48C3-BCF8-BE2615C234E1}"/>
            </a:ext>
          </a:extLst>
        </xdr:cNvPr>
        <xdr:cNvPicPr>
          <a:picLocks noChangeAspect="1"/>
        </xdr:cNvPicPr>
      </xdr:nvPicPr>
      <xdr:blipFill>
        <a:blip xmlns:r="http://schemas.openxmlformats.org/officeDocument/2006/relationships" r:embed="rId1"/>
        <a:stretch>
          <a:fillRect/>
        </a:stretch>
      </xdr:blipFill>
      <xdr:spPr>
        <a:xfrm>
          <a:off x="15982950" y="1371600"/>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4104B172-0F3C-4709-96E3-2AA9F6D07E52}"/>
            </a:ext>
          </a:extLst>
        </xdr:cNvPr>
        <xdr:cNvPicPr>
          <a:picLocks noChangeAspect="1"/>
        </xdr:cNvPicPr>
      </xdr:nvPicPr>
      <xdr:blipFill>
        <a:blip xmlns:r="http://schemas.openxmlformats.org/officeDocument/2006/relationships" r:embed="rId1"/>
        <a:stretch>
          <a:fillRect/>
        </a:stretch>
      </xdr:blipFill>
      <xdr:spPr>
        <a:xfrm>
          <a:off x="15982950" y="1371600"/>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B3CBC863-C163-461C-9E4C-9567F3C758CB}"/>
            </a:ext>
          </a:extLst>
        </xdr:cNvPr>
        <xdr:cNvPicPr>
          <a:picLocks noChangeAspect="1"/>
        </xdr:cNvPicPr>
      </xdr:nvPicPr>
      <xdr:blipFill>
        <a:blip xmlns:r="http://schemas.openxmlformats.org/officeDocument/2006/relationships" r:embed="rId1"/>
        <a:stretch>
          <a:fillRect/>
        </a:stretch>
      </xdr:blipFill>
      <xdr:spPr>
        <a:xfrm>
          <a:off x="15982950" y="1371600"/>
          <a:ext cx="1549344" cy="49496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944301</xdr:colOff>
      <xdr:row>18</xdr:row>
      <xdr:rowOff>0</xdr:rowOff>
    </xdr:from>
    <xdr:ext cx="1553154" cy="444818"/>
    <xdr:pic>
      <xdr:nvPicPr>
        <xdr:cNvPr id="2" name="Picture 1" hidden="1">
          <a:extLst>
            <a:ext uri="{FF2B5EF4-FFF2-40B4-BE49-F238E27FC236}">
              <a16:creationId xmlns:a16="http://schemas.microsoft.com/office/drawing/2014/main" id="{0D25E826-DF06-4897-A610-CD9300236D79}"/>
            </a:ext>
          </a:extLst>
        </xdr:cNvPr>
        <xdr:cNvPicPr>
          <a:picLocks noChangeAspect="1"/>
        </xdr:cNvPicPr>
      </xdr:nvPicPr>
      <xdr:blipFill>
        <a:blip xmlns:r="http://schemas.openxmlformats.org/officeDocument/2006/relationships" r:embed="rId1"/>
        <a:stretch>
          <a:fillRect/>
        </a:stretch>
      </xdr:blipFill>
      <xdr:spPr>
        <a:xfrm>
          <a:off x="15079401" y="0"/>
          <a:ext cx="1553154" cy="444818"/>
        </a:xfrm>
        <a:prstGeom prst="rect">
          <a:avLst/>
        </a:prstGeom>
      </xdr:spPr>
    </xdr:pic>
    <xdr:clientData/>
  </xdr:oneCellAnchor>
  <xdr:oneCellAnchor>
    <xdr:from>
      <xdr:col>12</xdr:col>
      <xdr:colOff>944301</xdr:colOff>
      <xdr:row>18</xdr:row>
      <xdr:rowOff>0</xdr:rowOff>
    </xdr:from>
    <xdr:ext cx="1549344" cy="446300"/>
    <xdr:pic>
      <xdr:nvPicPr>
        <xdr:cNvPr id="3" name="Picture 2" hidden="1">
          <a:extLst>
            <a:ext uri="{FF2B5EF4-FFF2-40B4-BE49-F238E27FC236}">
              <a16:creationId xmlns:a16="http://schemas.microsoft.com/office/drawing/2014/main" id="{97267D55-60BA-481C-8F5E-A2AC258196A1}"/>
            </a:ext>
          </a:extLst>
        </xdr:cNvPr>
        <xdr:cNvPicPr>
          <a:picLocks noChangeAspect="1"/>
        </xdr:cNvPicPr>
      </xdr:nvPicPr>
      <xdr:blipFill>
        <a:blip xmlns:r="http://schemas.openxmlformats.org/officeDocument/2006/relationships" r:embed="rId1"/>
        <a:stretch>
          <a:fillRect/>
        </a:stretch>
      </xdr:blipFill>
      <xdr:spPr>
        <a:xfrm>
          <a:off x="15079401" y="0"/>
          <a:ext cx="1549344" cy="446300"/>
        </a:xfrm>
        <a:prstGeom prst="rect">
          <a:avLst/>
        </a:prstGeom>
      </xdr:spPr>
    </xdr:pic>
    <xdr:clientData/>
  </xdr:oneCellAnchor>
  <xdr:oneCellAnchor>
    <xdr:from>
      <xdr:col>12</xdr:col>
      <xdr:colOff>944301</xdr:colOff>
      <xdr:row>18</xdr:row>
      <xdr:rowOff>0</xdr:rowOff>
    </xdr:from>
    <xdr:ext cx="1549344" cy="494964"/>
    <xdr:pic>
      <xdr:nvPicPr>
        <xdr:cNvPr id="4" name="Picture 3" hidden="1">
          <a:extLst>
            <a:ext uri="{FF2B5EF4-FFF2-40B4-BE49-F238E27FC236}">
              <a16:creationId xmlns:a16="http://schemas.microsoft.com/office/drawing/2014/main" id="{D0C27A8D-D29B-4EF7-B44C-37B0E84C21E5}"/>
            </a:ext>
          </a:extLst>
        </xdr:cNvPr>
        <xdr:cNvPicPr>
          <a:picLocks noChangeAspect="1"/>
        </xdr:cNvPicPr>
      </xdr:nvPicPr>
      <xdr:blipFill>
        <a:blip xmlns:r="http://schemas.openxmlformats.org/officeDocument/2006/relationships" r:embed="rId1"/>
        <a:stretch>
          <a:fillRect/>
        </a:stretch>
      </xdr:blipFill>
      <xdr:spPr>
        <a:xfrm>
          <a:off x="15079401" y="0"/>
          <a:ext cx="1549344" cy="494964"/>
        </a:xfrm>
        <a:prstGeom prst="rect">
          <a:avLst/>
        </a:prstGeom>
      </xdr:spPr>
    </xdr:pic>
    <xdr:clientData/>
  </xdr:oneCellAnchor>
  <xdr:oneCellAnchor>
    <xdr:from>
      <xdr:col>23</xdr:col>
      <xdr:colOff>944301</xdr:colOff>
      <xdr:row>18</xdr:row>
      <xdr:rowOff>0</xdr:rowOff>
    </xdr:from>
    <xdr:ext cx="1553154" cy="444818"/>
    <xdr:pic>
      <xdr:nvPicPr>
        <xdr:cNvPr id="5" name="Picture 4" hidden="1">
          <a:extLst>
            <a:ext uri="{FF2B5EF4-FFF2-40B4-BE49-F238E27FC236}">
              <a16:creationId xmlns:a16="http://schemas.microsoft.com/office/drawing/2014/main" id="{C7139D45-519E-466B-B27B-FA6E1EB248CC}"/>
            </a:ext>
          </a:extLst>
        </xdr:cNvPr>
        <xdr:cNvPicPr>
          <a:picLocks noChangeAspect="1"/>
        </xdr:cNvPicPr>
      </xdr:nvPicPr>
      <xdr:blipFill>
        <a:blip xmlns:r="http://schemas.openxmlformats.org/officeDocument/2006/relationships" r:embed="rId1"/>
        <a:stretch>
          <a:fillRect/>
        </a:stretch>
      </xdr:blipFill>
      <xdr:spPr>
        <a:xfrm>
          <a:off x="15079401" y="0"/>
          <a:ext cx="1553154" cy="444818"/>
        </a:xfrm>
        <a:prstGeom prst="rect">
          <a:avLst/>
        </a:prstGeom>
      </xdr:spPr>
    </xdr:pic>
    <xdr:clientData/>
  </xdr:oneCellAnchor>
  <xdr:oneCellAnchor>
    <xdr:from>
      <xdr:col>23</xdr:col>
      <xdr:colOff>944301</xdr:colOff>
      <xdr:row>18</xdr:row>
      <xdr:rowOff>0</xdr:rowOff>
    </xdr:from>
    <xdr:ext cx="1549344" cy="446300"/>
    <xdr:pic>
      <xdr:nvPicPr>
        <xdr:cNvPr id="6" name="Picture 5" hidden="1">
          <a:extLst>
            <a:ext uri="{FF2B5EF4-FFF2-40B4-BE49-F238E27FC236}">
              <a16:creationId xmlns:a16="http://schemas.microsoft.com/office/drawing/2014/main" id="{8A01C328-933D-41C0-9591-9EC572E3D41B}"/>
            </a:ext>
          </a:extLst>
        </xdr:cNvPr>
        <xdr:cNvPicPr>
          <a:picLocks noChangeAspect="1"/>
        </xdr:cNvPicPr>
      </xdr:nvPicPr>
      <xdr:blipFill>
        <a:blip xmlns:r="http://schemas.openxmlformats.org/officeDocument/2006/relationships" r:embed="rId1"/>
        <a:stretch>
          <a:fillRect/>
        </a:stretch>
      </xdr:blipFill>
      <xdr:spPr>
        <a:xfrm>
          <a:off x="15079401" y="0"/>
          <a:ext cx="1549344" cy="446300"/>
        </a:xfrm>
        <a:prstGeom prst="rect">
          <a:avLst/>
        </a:prstGeom>
      </xdr:spPr>
    </xdr:pic>
    <xdr:clientData/>
  </xdr:oneCellAnchor>
  <xdr:oneCellAnchor>
    <xdr:from>
      <xdr:col>23</xdr:col>
      <xdr:colOff>944301</xdr:colOff>
      <xdr:row>18</xdr:row>
      <xdr:rowOff>0</xdr:rowOff>
    </xdr:from>
    <xdr:ext cx="1549344" cy="494964"/>
    <xdr:pic>
      <xdr:nvPicPr>
        <xdr:cNvPr id="7" name="Picture 6" hidden="1">
          <a:extLst>
            <a:ext uri="{FF2B5EF4-FFF2-40B4-BE49-F238E27FC236}">
              <a16:creationId xmlns:a16="http://schemas.microsoft.com/office/drawing/2014/main" id="{D8092DE6-539D-445F-8666-2799D1997E42}"/>
            </a:ext>
          </a:extLst>
        </xdr:cNvPr>
        <xdr:cNvPicPr>
          <a:picLocks noChangeAspect="1"/>
        </xdr:cNvPicPr>
      </xdr:nvPicPr>
      <xdr:blipFill>
        <a:blip xmlns:r="http://schemas.openxmlformats.org/officeDocument/2006/relationships" r:embed="rId1"/>
        <a:stretch>
          <a:fillRect/>
        </a:stretch>
      </xdr:blipFill>
      <xdr:spPr>
        <a:xfrm>
          <a:off x="15079401" y="0"/>
          <a:ext cx="1549344" cy="49496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4C9AE8B2-3021-47DB-AAAC-EC4AE259B22B}"/>
            </a:ext>
          </a:extLst>
        </xdr:cNvPr>
        <xdr:cNvPicPr>
          <a:picLocks noChangeAspect="1"/>
        </xdr:cNvPicPr>
      </xdr:nvPicPr>
      <xdr:blipFill>
        <a:blip xmlns:r="http://schemas.openxmlformats.org/officeDocument/2006/relationships" r:embed="rId1"/>
        <a:stretch>
          <a:fillRect/>
        </a:stretch>
      </xdr:blipFill>
      <xdr:spPr>
        <a:xfrm>
          <a:off x="15955701" y="2200275"/>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06FA42D5-94C8-4DDA-8118-9ADFA9862531}"/>
            </a:ext>
          </a:extLst>
        </xdr:cNvPr>
        <xdr:cNvPicPr>
          <a:picLocks noChangeAspect="1"/>
        </xdr:cNvPicPr>
      </xdr:nvPicPr>
      <xdr:blipFill>
        <a:blip xmlns:r="http://schemas.openxmlformats.org/officeDocument/2006/relationships" r:embed="rId1"/>
        <a:stretch>
          <a:fillRect/>
        </a:stretch>
      </xdr:blipFill>
      <xdr:spPr>
        <a:xfrm>
          <a:off x="15955701" y="2200275"/>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6D87DA25-3F52-466D-88D3-671D7D2C8D12}"/>
            </a:ext>
          </a:extLst>
        </xdr:cNvPr>
        <xdr:cNvPicPr>
          <a:picLocks noChangeAspect="1"/>
        </xdr:cNvPicPr>
      </xdr:nvPicPr>
      <xdr:blipFill>
        <a:blip xmlns:r="http://schemas.openxmlformats.org/officeDocument/2006/relationships" r:embed="rId1"/>
        <a:stretch>
          <a:fillRect/>
        </a:stretch>
      </xdr:blipFill>
      <xdr:spPr>
        <a:xfrm>
          <a:off x="15955701" y="2200275"/>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1E735FCC-D04F-461E-B878-69E0149521D8}"/>
            </a:ext>
          </a:extLst>
        </xdr:cNvPr>
        <xdr:cNvPicPr>
          <a:picLocks noChangeAspect="1"/>
        </xdr:cNvPicPr>
      </xdr:nvPicPr>
      <xdr:blipFill>
        <a:blip xmlns:r="http://schemas.openxmlformats.org/officeDocument/2006/relationships" r:embed="rId1"/>
        <a:stretch>
          <a:fillRect/>
        </a:stretch>
      </xdr:blipFill>
      <xdr:spPr>
        <a:xfrm>
          <a:off x="16325850" y="2200275"/>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76C93B65-89DF-4C4D-93DD-7930793A22EF}"/>
            </a:ext>
          </a:extLst>
        </xdr:cNvPr>
        <xdr:cNvPicPr>
          <a:picLocks noChangeAspect="1"/>
        </xdr:cNvPicPr>
      </xdr:nvPicPr>
      <xdr:blipFill>
        <a:blip xmlns:r="http://schemas.openxmlformats.org/officeDocument/2006/relationships" r:embed="rId1"/>
        <a:stretch>
          <a:fillRect/>
        </a:stretch>
      </xdr:blipFill>
      <xdr:spPr>
        <a:xfrm>
          <a:off x="16325850" y="2200275"/>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DF9DDA80-6648-418C-BCE8-9896FEEF7FA2}"/>
            </a:ext>
          </a:extLst>
        </xdr:cNvPr>
        <xdr:cNvPicPr>
          <a:picLocks noChangeAspect="1"/>
        </xdr:cNvPicPr>
      </xdr:nvPicPr>
      <xdr:blipFill>
        <a:blip xmlns:r="http://schemas.openxmlformats.org/officeDocument/2006/relationships" r:embed="rId1"/>
        <a:stretch>
          <a:fillRect/>
        </a:stretch>
      </xdr:blipFill>
      <xdr:spPr>
        <a:xfrm>
          <a:off x="16325850" y="2200275"/>
          <a:ext cx="1549344" cy="49496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55D91ECA-AD9B-41E4-A653-1E6D947871DF}"/>
            </a:ext>
          </a:extLst>
        </xdr:cNvPr>
        <xdr:cNvPicPr>
          <a:picLocks noChangeAspect="1"/>
        </xdr:cNvPicPr>
      </xdr:nvPicPr>
      <xdr:blipFill>
        <a:blip xmlns:r="http://schemas.openxmlformats.org/officeDocument/2006/relationships" r:embed="rId1"/>
        <a:stretch>
          <a:fillRect/>
        </a:stretch>
      </xdr:blipFill>
      <xdr:spPr>
        <a:xfrm>
          <a:off x="15955701" y="2200275"/>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226CBDAC-BAA2-4B0D-A0AB-AD55B523BD99}"/>
            </a:ext>
          </a:extLst>
        </xdr:cNvPr>
        <xdr:cNvPicPr>
          <a:picLocks noChangeAspect="1"/>
        </xdr:cNvPicPr>
      </xdr:nvPicPr>
      <xdr:blipFill>
        <a:blip xmlns:r="http://schemas.openxmlformats.org/officeDocument/2006/relationships" r:embed="rId1"/>
        <a:stretch>
          <a:fillRect/>
        </a:stretch>
      </xdr:blipFill>
      <xdr:spPr>
        <a:xfrm>
          <a:off x="15955701" y="2200275"/>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4AB83354-3A41-4962-875F-9D3F6A96EC09}"/>
            </a:ext>
          </a:extLst>
        </xdr:cNvPr>
        <xdr:cNvPicPr>
          <a:picLocks noChangeAspect="1"/>
        </xdr:cNvPicPr>
      </xdr:nvPicPr>
      <xdr:blipFill>
        <a:blip xmlns:r="http://schemas.openxmlformats.org/officeDocument/2006/relationships" r:embed="rId1"/>
        <a:stretch>
          <a:fillRect/>
        </a:stretch>
      </xdr:blipFill>
      <xdr:spPr>
        <a:xfrm>
          <a:off x="15955701" y="2200275"/>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22BFD976-D799-4EA5-B54F-86BC7B42977F}"/>
            </a:ext>
          </a:extLst>
        </xdr:cNvPr>
        <xdr:cNvPicPr>
          <a:picLocks noChangeAspect="1"/>
        </xdr:cNvPicPr>
      </xdr:nvPicPr>
      <xdr:blipFill>
        <a:blip xmlns:r="http://schemas.openxmlformats.org/officeDocument/2006/relationships" r:embed="rId1"/>
        <a:stretch>
          <a:fillRect/>
        </a:stretch>
      </xdr:blipFill>
      <xdr:spPr>
        <a:xfrm>
          <a:off x="16325850" y="2200275"/>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F445E373-73C7-4C81-822B-E0B7B161B2A1}"/>
            </a:ext>
          </a:extLst>
        </xdr:cNvPr>
        <xdr:cNvPicPr>
          <a:picLocks noChangeAspect="1"/>
        </xdr:cNvPicPr>
      </xdr:nvPicPr>
      <xdr:blipFill>
        <a:blip xmlns:r="http://schemas.openxmlformats.org/officeDocument/2006/relationships" r:embed="rId1"/>
        <a:stretch>
          <a:fillRect/>
        </a:stretch>
      </xdr:blipFill>
      <xdr:spPr>
        <a:xfrm>
          <a:off x="16325850" y="2200275"/>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3C146D11-C0B6-4A00-80B1-2D9F9908B709}"/>
            </a:ext>
          </a:extLst>
        </xdr:cNvPr>
        <xdr:cNvPicPr>
          <a:picLocks noChangeAspect="1"/>
        </xdr:cNvPicPr>
      </xdr:nvPicPr>
      <xdr:blipFill>
        <a:blip xmlns:r="http://schemas.openxmlformats.org/officeDocument/2006/relationships" r:embed="rId1"/>
        <a:stretch>
          <a:fillRect/>
        </a:stretch>
      </xdr:blipFill>
      <xdr:spPr>
        <a:xfrm>
          <a:off x="16325850" y="2200275"/>
          <a:ext cx="1549344" cy="49496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10</xdr:col>
      <xdr:colOff>944301</xdr:colOff>
      <xdr:row>10</xdr:row>
      <xdr:rowOff>0</xdr:rowOff>
    </xdr:from>
    <xdr:ext cx="1553154" cy="444818"/>
    <xdr:pic>
      <xdr:nvPicPr>
        <xdr:cNvPr id="2" name="Picture 1" hidden="1">
          <a:extLst>
            <a:ext uri="{FF2B5EF4-FFF2-40B4-BE49-F238E27FC236}">
              <a16:creationId xmlns:a16="http://schemas.microsoft.com/office/drawing/2014/main" id="{50A15755-1434-4795-B69B-088C892F81FE}"/>
            </a:ext>
          </a:extLst>
        </xdr:cNvPr>
        <xdr:cNvPicPr>
          <a:picLocks noChangeAspect="1"/>
        </xdr:cNvPicPr>
      </xdr:nvPicPr>
      <xdr:blipFill>
        <a:blip xmlns:r="http://schemas.openxmlformats.org/officeDocument/2006/relationships" r:embed="rId1"/>
        <a:stretch>
          <a:fillRect/>
        </a:stretch>
      </xdr:blipFill>
      <xdr:spPr>
        <a:xfrm>
          <a:off x="15955701" y="2524125"/>
          <a:ext cx="1553154" cy="444818"/>
        </a:xfrm>
        <a:prstGeom prst="rect">
          <a:avLst/>
        </a:prstGeom>
      </xdr:spPr>
    </xdr:pic>
    <xdr:clientData/>
  </xdr:oneCellAnchor>
  <xdr:oneCellAnchor>
    <xdr:from>
      <xdr:col>10</xdr:col>
      <xdr:colOff>944301</xdr:colOff>
      <xdr:row>10</xdr:row>
      <xdr:rowOff>0</xdr:rowOff>
    </xdr:from>
    <xdr:ext cx="1549344" cy="446300"/>
    <xdr:pic>
      <xdr:nvPicPr>
        <xdr:cNvPr id="3" name="Picture 2" hidden="1">
          <a:extLst>
            <a:ext uri="{FF2B5EF4-FFF2-40B4-BE49-F238E27FC236}">
              <a16:creationId xmlns:a16="http://schemas.microsoft.com/office/drawing/2014/main" id="{EC74B075-E746-42ED-8E06-E2044125F0B0}"/>
            </a:ext>
          </a:extLst>
        </xdr:cNvPr>
        <xdr:cNvPicPr>
          <a:picLocks noChangeAspect="1"/>
        </xdr:cNvPicPr>
      </xdr:nvPicPr>
      <xdr:blipFill>
        <a:blip xmlns:r="http://schemas.openxmlformats.org/officeDocument/2006/relationships" r:embed="rId1"/>
        <a:stretch>
          <a:fillRect/>
        </a:stretch>
      </xdr:blipFill>
      <xdr:spPr>
        <a:xfrm>
          <a:off x="15955701" y="2524125"/>
          <a:ext cx="1549344" cy="446300"/>
        </a:xfrm>
        <a:prstGeom prst="rect">
          <a:avLst/>
        </a:prstGeom>
      </xdr:spPr>
    </xdr:pic>
    <xdr:clientData/>
  </xdr:oneCellAnchor>
  <xdr:oneCellAnchor>
    <xdr:from>
      <xdr:col>10</xdr:col>
      <xdr:colOff>944301</xdr:colOff>
      <xdr:row>10</xdr:row>
      <xdr:rowOff>0</xdr:rowOff>
    </xdr:from>
    <xdr:ext cx="1549344" cy="494964"/>
    <xdr:pic>
      <xdr:nvPicPr>
        <xdr:cNvPr id="4" name="Picture 3" hidden="1">
          <a:extLst>
            <a:ext uri="{FF2B5EF4-FFF2-40B4-BE49-F238E27FC236}">
              <a16:creationId xmlns:a16="http://schemas.microsoft.com/office/drawing/2014/main" id="{8AD4477A-2840-4A49-85BC-82DC59AF5DBE}"/>
            </a:ext>
          </a:extLst>
        </xdr:cNvPr>
        <xdr:cNvPicPr>
          <a:picLocks noChangeAspect="1"/>
        </xdr:cNvPicPr>
      </xdr:nvPicPr>
      <xdr:blipFill>
        <a:blip xmlns:r="http://schemas.openxmlformats.org/officeDocument/2006/relationships" r:embed="rId1"/>
        <a:stretch>
          <a:fillRect/>
        </a:stretch>
      </xdr:blipFill>
      <xdr:spPr>
        <a:xfrm>
          <a:off x="15955701" y="2524125"/>
          <a:ext cx="1549344" cy="494964"/>
        </a:xfrm>
        <a:prstGeom prst="rect">
          <a:avLst/>
        </a:prstGeom>
      </xdr:spPr>
    </xdr:pic>
    <xdr:clientData/>
  </xdr:oneCellAnchor>
  <xdr:oneCellAnchor>
    <xdr:from>
      <xdr:col>21</xdr:col>
      <xdr:colOff>944301</xdr:colOff>
      <xdr:row>10</xdr:row>
      <xdr:rowOff>0</xdr:rowOff>
    </xdr:from>
    <xdr:ext cx="1553154" cy="444818"/>
    <xdr:pic>
      <xdr:nvPicPr>
        <xdr:cNvPr id="5" name="Picture 4" hidden="1">
          <a:extLst>
            <a:ext uri="{FF2B5EF4-FFF2-40B4-BE49-F238E27FC236}">
              <a16:creationId xmlns:a16="http://schemas.microsoft.com/office/drawing/2014/main" id="{5FFF47CA-C439-45F5-8752-88A299E49D22}"/>
            </a:ext>
          </a:extLst>
        </xdr:cNvPr>
        <xdr:cNvPicPr>
          <a:picLocks noChangeAspect="1"/>
        </xdr:cNvPicPr>
      </xdr:nvPicPr>
      <xdr:blipFill>
        <a:blip xmlns:r="http://schemas.openxmlformats.org/officeDocument/2006/relationships" r:embed="rId1"/>
        <a:stretch>
          <a:fillRect/>
        </a:stretch>
      </xdr:blipFill>
      <xdr:spPr>
        <a:xfrm>
          <a:off x="16325850" y="2524125"/>
          <a:ext cx="1553154" cy="444818"/>
        </a:xfrm>
        <a:prstGeom prst="rect">
          <a:avLst/>
        </a:prstGeom>
      </xdr:spPr>
    </xdr:pic>
    <xdr:clientData/>
  </xdr:oneCellAnchor>
  <xdr:oneCellAnchor>
    <xdr:from>
      <xdr:col>21</xdr:col>
      <xdr:colOff>944301</xdr:colOff>
      <xdr:row>10</xdr:row>
      <xdr:rowOff>0</xdr:rowOff>
    </xdr:from>
    <xdr:ext cx="1549344" cy="446300"/>
    <xdr:pic>
      <xdr:nvPicPr>
        <xdr:cNvPr id="6" name="Picture 5" hidden="1">
          <a:extLst>
            <a:ext uri="{FF2B5EF4-FFF2-40B4-BE49-F238E27FC236}">
              <a16:creationId xmlns:a16="http://schemas.microsoft.com/office/drawing/2014/main" id="{177D5706-344E-412E-A260-093BA74D2967}"/>
            </a:ext>
          </a:extLst>
        </xdr:cNvPr>
        <xdr:cNvPicPr>
          <a:picLocks noChangeAspect="1"/>
        </xdr:cNvPicPr>
      </xdr:nvPicPr>
      <xdr:blipFill>
        <a:blip xmlns:r="http://schemas.openxmlformats.org/officeDocument/2006/relationships" r:embed="rId1"/>
        <a:stretch>
          <a:fillRect/>
        </a:stretch>
      </xdr:blipFill>
      <xdr:spPr>
        <a:xfrm>
          <a:off x="16325850" y="2524125"/>
          <a:ext cx="1549344" cy="446300"/>
        </a:xfrm>
        <a:prstGeom prst="rect">
          <a:avLst/>
        </a:prstGeom>
      </xdr:spPr>
    </xdr:pic>
    <xdr:clientData/>
  </xdr:oneCellAnchor>
  <xdr:oneCellAnchor>
    <xdr:from>
      <xdr:col>21</xdr:col>
      <xdr:colOff>944301</xdr:colOff>
      <xdr:row>10</xdr:row>
      <xdr:rowOff>0</xdr:rowOff>
    </xdr:from>
    <xdr:ext cx="1549344" cy="494964"/>
    <xdr:pic>
      <xdr:nvPicPr>
        <xdr:cNvPr id="7" name="Picture 6" hidden="1">
          <a:extLst>
            <a:ext uri="{FF2B5EF4-FFF2-40B4-BE49-F238E27FC236}">
              <a16:creationId xmlns:a16="http://schemas.microsoft.com/office/drawing/2014/main" id="{1C277406-F20B-44E0-AB34-59128341EAA2}"/>
            </a:ext>
          </a:extLst>
        </xdr:cNvPr>
        <xdr:cNvPicPr>
          <a:picLocks noChangeAspect="1"/>
        </xdr:cNvPicPr>
      </xdr:nvPicPr>
      <xdr:blipFill>
        <a:blip xmlns:r="http://schemas.openxmlformats.org/officeDocument/2006/relationships" r:embed="rId1"/>
        <a:stretch>
          <a:fillRect/>
        </a:stretch>
      </xdr:blipFill>
      <xdr:spPr>
        <a:xfrm>
          <a:off x="16325850" y="2524125"/>
          <a:ext cx="1549344" cy="494964"/>
        </a:xfrm>
        <a:prstGeom prst="rect">
          <a:avLst/>
        </a:prstGeom>
      </xdr:spPr>
    </xdr:pic>
    <xdr:clientData/>
  </xdr:oneCellAnchor>
  <xdr:twoCellAnchor>
    <xdr:from>
      <xdr:col>0</xdr:col>
      <xdr:colOff>176389</xdr:colOff>
      <xdr:row>8</xdr:row>
      <xdr:rowOff>58795</xdr:rowOff>
    </xdr:from>
    <xdr:to>
      <xdr:col>7</xdr:col>
      <xdr:colOff>428155</xdr:colOff>
      <xdr:row>8</xdr:row>
      <xdr:rowOff>1960032</xdr:rowOff>
    </xdr:to>
    <xdr:sp macro="" textlink="">
      <xdr:nvSpPr>
        <xdr:cNvPr id="8" name="TextBox 7">
          <a:extLst>
            <a:ext uri="{FF2B5EF4-FFF2-40B4-BE49-F238E27FC236}">
              <a16:creationId xmlns:a16="http://schemas.microsoft.com/office/drawing/2014/main" id="{CF57622F-E93B-4318-AD3D-F264C7524EAF}"/>
            </a:ext>
          </a:extLst>
        </xdr:cNvPr>
        <xdr:cNvSpPr txBox="1"/>
      </xdr:nvSpPr>
      <xdr:spPr>
        <a:xfrm>
          <a:off x="176389" y="2422406"/>
          <a:ext cx="9153525" cy="1901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1" i="0" u="none" strike="noStrike" kern="1200" cap="none" spc="0" normalizeH="0" baseline="0" noProof="0" dirty="0">
              <a:ln>
                <a:noFill/>
              </a:ln>
              <a:solidFill>
                <a:prstClr val="black"/>
              </a:solidFill>
              <a:effectLst/>
              <a:uLnTx/>
              <a:uFillTx/>
              <a:latin typeface="+mn-lt"/>
              <a:ea typeface="+mn-ea"/>
              <a:cs typeface="+mn-cs"/>
            </a:rPr>
            <a:t>Important notes to vendors on demonstration: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Demonstrations will be held </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virtually.  However, depending on the supplier's location, a decision can be made to conduct a physical session either at Megawatt Park or at the supplier's offices</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You will have 5 hours to conclude your demonstration, this will be followed by 90 minutes for questions.</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If you are invited for a demonstration, you will have roughly a week to prepare.</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For the demonstration you will be required to</a:t>
          </a: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 present the UI  and functionality of the system's production version </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sysClr val="windowText" lastClr="000000"/>
              </a:solidFill>
              <a:effectLst/>
              <a:uLnTx/>
              <a:uFillTx/>
              <a:latin typeface="+mn-lt"/>
              <a:ea typeface="+mn-ea"/>
              <a:cs typeface="+mn-cs"/>
            </a:rPr>
            <a:t>For demonstrations at Megawatt Park:</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All visitors are required to provide identification so please bring a driver's licence or ID, or you may not be allowed into the building. </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Arrive 10 minutes early to sign in your electronic devices at security, you will be collected from the main reception by an Eskom employee. </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A projector with standard VGA connector will be provided, please bring along any adapters you may need i.e. mac book adapter, HDMI etc.</a:t>
          </a:r>
        </a:p>
        <a:p>
          <a:pPr marL="447675"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100" b="0" i="0" u="none" strike="noStrike" kern="1200" cap="none" spc="0" normalizeH="0" baseline="0" noProof="0" dirty="0">
              <a:ln>
                <a:noFill/>
              </a:ln>
              <a:solidFill>
                <a:prstClr val="black"/>
              </a:solidFill>
              <a:effectLst/>
              <a:uLnTx/>
              <a:uFillTx/>
              <a:latin typeface="+mn-lt"/>
              <a:ea typeface="+mn-ea"/>
              <a:cs typeface="+mn-cs"/>
            </a:rPr>
            <a:t>The venue does not have sound, if you need sound, please bring your own speaker</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0" i="0" u="none" strike="noStrike" kern="1200" cap="none" spc="0" normalizeH="0" baseline="0" noProof="0" dirty="0">
            <a:ln>
              <a:noFill/>
            </a:ln>
            <a:solidFill>
              <a:prstClr val="black"/>
            </a:solidFill>
            <a:effectLst/>
            <a:uLnTx/>
            <a:uFillTx/>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AA83945E-8684-465A-97AF-34DD05B9366F}"/>
            </a:ext>
          </a:extLst>
        </xdr:cNvPr>
        <xdr:cNvPicPr>
          <a:picLocks noChangeAspect="1"/>
        </xdr:cNvPicPr>
      </xdr:nvPicPr>
      <xdr:blipFill>
        <a:blip xmlns:r="http://schemas.openxmlformats.org/officeDocument/2006/relationships" r:embed="rId1"/>
        <a:stretch>
          <a:fillRect/>
        </a:stretch>
      </xdr:blipFill>
      <xdr:spPr>
        <a:xfrm>
          <a:off x="15955701" y="2200275"/>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86667C9A-D8B4-492A-B616-3089103C99B6}"/>
            </a:ext>
          </a:extLst>
        </xdr:cNvPr>
        <xdr:cNvPicPr>
          <a:picLocks noChangeAspect="1"/>
        </xdr:cNvPicPr>
      </xdr:nvPicPr>
      <xdr:blipFill>
        <a:blip xmlns:r="http://schemas.openxmlformats.org/officeDocument/2006/relationships" r:embed="rId1"/>
        <a:stretch>
          <a:fillRect/>
        </a:stretch>
      </xdr:blipFill>
      <xdr:spPr>
        <a:xfrm>
          <a:off x="15955701" y="2200275"/>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CA92E121-AFB5-4659-BA0B-3FF04397C96E}"/>
            </a:ext>
          </a:extLst>
        </xdr:cNvPr>
        <xdr:cNvPicPr>
          <a:picLocks noChangeAspect="1"/>
        </xdr:cNvPicPr>
      </xdr:nvPicPr>
      <xdr:blipFill>
        <a:blip xmlns:r="http://schemas.openxmlformats.org/officeDocument/2006/relationships" r:embed="rId1"/>
        <a:stretch>
          <a:fillRect/>
        </a:stretch>
      </xdr:blipFill>
      <xdr:spPr>
        <a:xfrm>
          <a:off x="15955701" y="2200275"/>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6F5C4CC9-96E5-4315-B629-A5470767418B}"/>
            </a:ext>
          </a:extLst>
        </xdr:cNvPr>
        <xdr:cNvPicPr>
          <a:picLocks noChangeAspect="1"/>
        </xdr:cNvPicPr>
      </xdr:nvPicPr>
      <xdr:blipFill>
        <a:blip xmlns:r="http://schemas.openxmlformats.org/officeDocument/2006/relationships" r:embed="rId1"/>
        <a:stretch>
          <a:fillRect/>
        </a:stretch>
      </xdr:blipFill>
      <xdr:spPr>
        <a:xfrm>
          <a:off x="16325850" y="2200275"/>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A6FD20C3-B069-4AF3-A025-93F7F25AD062}"/>
            </a:ext>
          </a:extLst>
        </xdr:cNvPr>
        <xdr:cNvPicPr>
          <a:picLocks noChangeAspect="1"/>
        </xdr:cNvPicPr>
      </xdr:nvPicPr>
      <xdr:blipFill>
        <a:blip xmlns:r="http://schemas.openxmlformats.org/officeDocument/2006/relationships" r:embed="rId1"/>
        <a:stretch>
          <a:fillRect/>
        </a:stretch>
      </xdr:blipFill>
      <xdr:spPr>
        <a:xfrm>
          <a:off x="16325850" y="2200275"/>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9BDF6BEE-3B4C-4931-B53A-66D41B6D65CB}"/>
            </a:ext>
          </a:extLst>
        </xdr:cNvPr>
        <xdr:cNvPicPr>
          <a:picLocks noChangeAspect="1"/>
        </xdr:cNvPicPr>
      </xdr:nvPicPr>
      <xdr:blipFill>
        <a:blip xmlns:r="http://schemas.openxmlformats.org/officeDocument/2006/relationships" r:embed="rId1"/>
        <a:stretch>
          <a:fillRect/>
        </a:stretch>
      </xdr:blipFill>
      <xdr:spPr>
        <a:xfrm>
          <a:off x="16325850" y="2200275"/>
          <a:ext cx="1549344" cy="49496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6</xdr:col>
      <xdr:colOff>390525</xdr:colOff>
      <xdr:row>1</xdr:row>
      <xdr:rowOff>30232</xdr:rowOff>
    </xdr:from>
    <xdr:ext cx="1352550" cy="447416"/>
    <xdr:pic>
      <xdr:nvPicPr>
        <xdr:cNvPr id="2" name="Picture 1">
          <a:extLst>
            <a:ext uri="{FF2B5EF4-FFF2-40B4-BE49-F238E27FC236}">
              <a16:creationId xmlns:a16="http://schemas.microsoft.com/office/drawing/2014/main" id="{C7E36304-B637-4711-82BC-5E9FFEBB954D}"/>
            </a:ext>
          </a:extLst>
        </xdr:cNvPr>
        <xdr:cNvPicPr>
          <a:picLocks noChangeAspect="1"/>
        </xdr:cNvPicPr>
      </xdr:nvPicPr>
      <xdr:blipFill>
        <a:blip xmlns:r="http://schemas.openxmlformats.org/officeDocument/2006/relationships" r:embed="rId1"/>
        <a:stretch>
          <a:fillRect/>
        </a:stretch>
      </xdr:blipFill>
      <xdr:spPr>
        <a:xfrm>
          <a:off x="11287125" y="211207"/>
          <a:ext cx="1352550" cy="44741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8A434F41-7C86-418A-96D7-5CE37CEECDB2}"/>
            </a:ext>
          </a:extLst>
        </xdr:cNvPr>
        <xdr:cNvPicPr>
          <a:picLocks noChangeAspect="1"/>
        </xdr:cNvPicPr>
      </xdr:nvPicPr>
      <xdr:blipFill>
        <a:blip xmlns:r="http://schemas.openxmlformats.org/officeDocument/2006/relationships" r:embed="rId1"/>
        <a:stretch>
          <a:fillRect/>
        </a:stretch>
      </xdr:blipFill>
      <xdr:spPr>
        <a:xfrm>
          <a:off x="15955701" y="2200275"/>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607847FC-F2B5-425F-81A5-4CB019A60864}"/>
            </a:ext>
          </a:extLst>
        </xdr:cNvPr>
        <xdr:cNvPicPr>
          <a:picLocks noChangeAspect="1"/>
        </xdr:cNvPicPr>
      </xdr:nvPicPr>
      <xdr:blipFill>
        <a:blip xmlns:r="http://schemas.openxmlformats.org/officeDocument/2006/relationships" r:embed="rId1"/>
        <a:stretch>
          <a:fillRect/>
        </a:stretch>
      </xdr:blipFill>
      <xdr:spPr>
        <a:xfrm>
          <a:off x="15955701" y="2200275"/>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4DBD5CCB-D79D-48EE-843E-860E0ABF9978}"/>
            </a:ext>
          </a:extLst>
        </xdr:cNvPr>
        <xdr:cNvPicPr>
          <a:picLocks noChangeAspect="1"/>
        </xdr:cNvPicPr>
      </xdr:nvPicPr>
      <xdr:blipFill>
        <a:blip xmlns:r="http://schemas.openxmlformats.org/officeDocument/2006/relationships" r:embed="rId1"/>
        <a:stretch>
          <a:fillRect/>
        </a:stretch>
      </xdr:blipFill>
      <xdr:spPr>
        <a:xfrm>
          <a:off x="15955701" y="2200275"/>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4CC90C62-409B-4AAB-9FC0-1B11FDD36176}"/>
            </a:ext>
          </a:extLst>
        </xdr:cNvPr>
        <xdr:cNvPicPr>
          <a:picLocks noChangeAspect="1"/>
        </xdr:cNvPicPr>
      </xdr:nvPicPr>
      <xdr:blipFill>
        <a:blip xmlns:r="http://schemas.openxmlformats.org/officeDocument/2006/relationships" r:embed="rId1"/>
        <a:stretch>
          <a:fillRect/>
        </a:stretch>
      </xdr:blipFill>
      <xdr:spPr>
        <a:xfrm>
          <a:off x="16325850" y="2200275"/>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94E729B1-931F-4E72-9DA5-DCDEA51BCB7F}"/>
            </a:ext>
          </a:extLst>
        </xdr:cNvPr>
        <xdr:cNvPicPr>
          <a:picLocks noChangeAspect="1"/>
        </xdr:cNvPicPr>
      </xdr:nvPicPr>
      <xdr:blipFill>
        <a:blip xmlns:r="http://schemas.openxmlformats.org/officeDocument/2006/relationships" r:embed="rId1"/>
        <a:stretch>
          <a:fillRect/>
        </a:stretch>
      </xdr:blipFill>
      <xdr:spPr>
        <a:xfrm>
          <a:off x="16325850" y="2200275"/>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FC63AFC6-3046-43A1-B338-58D3F80BF0E4}"/>
            </a:ext>
          </a:extLst>
        </xdr:cNvPr>
        <xdr:cNvPicPr>
          <a:picLocks noChangeAspect="1"/>
        </xdr:cNvPicPr>
      </xdr:nvPicPr>
      <xdr:blipFill>
        <a:blip xmlns:r="http://schemas.openxmlformats.org/officeDocument/2006/relationships" r:embed="rId1"/>
        <a:stretch>
          <a:fillRect/>
        </a:stretch>
      </xdr:blipFill>
      <xdr:spPr>
        <a:xfrm>
          <a:off x="16325850" y="2200275"/>
          <a:ext cx="1549344" cy="49496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12</xdr:col>
      <xdr:colOff>944301</xdr:colOff>
      <xdr:row>9</xdr:row>
      <xdr:rowOff>0</xdr:rowOff>
    </xdr:from>
    <xdr:ext cx="1553154" cy="444818"/>
    <xdr:pic>
      <xdr:nvPicPr>
        <xdr:cNvPr id="2" name="Picture 1" hidden="1">
          <a:extLst>
            <a:ext uri="{FF2B5EF4-FFF2-40B4-BE49-F238E27FC236}">
              <a16:creationId xmlns:a16="http://schemas.microsoft.com/office/drawing/2014/main" id="{7B6FCDB1-B669-4F58-81EC-4D354499EFC7}"/>
            </a:ext>
          </a:extLst>
        </xdr:cNvPr>
        <xdr:cNvPicPr>
          <a:picLocks noChangeAspect="1"/>
        </xdr:cNvPicPr>
      </xdr:nvPicPr>
      <xdr:blipFill>
        <a:blip xmlns:r="http://schemas.openxmlformats.org/officeDocument/2006/relationships" r:embed="rId1"/>
        <a:stretch>
          <a:fillRect/>
        </a:stretch>
      </xdr:blipFill>
      <xdr:spPr>
        <a:xfrm>
          <a:off x="15955701" y="2200275"/>
          <a:ext cx="1553154" cy="444818"/>
        </a:xfrm>
        <a:prstGeom prst="rect">
          <a:avLst/>
        </a:prstGeom>
      </xdr:spPr>
    </xdr:pic>
    <xdr:clientData/>
  </xdr:oneCellAnchor>
  <xdr:oneCellAnchor>
    <xdr:from>
      <xdr:col>12</xdr:col>
      <xdr:colOff>944301</xdr:colOff>
      <xdr:row>9</xdr:row>
      <xdr:rowOff>0</xdr:rowOff>
    </xdr:from>
    <xdr:ext cx="1549344" cy="446300"/>
    <xdr:pic>
      <xdr:nvPicPr>
        <xdr:cNvPr id="3" name="Picture 2" hidden="1">
          <a:extLst>
            <a:ext uri="{FF2B5EF4-FFF2-40B4-BE49-F238E27FC236}">
              <a16:creationId xmlns:a16="http://schemas.microsoft.com/office/drawing/2014/main" id="{C32DD52E-2D1D-4D04-BD65-6EC20B08BC73}"/>
            </a:ext>
          </a:extLst>
        </xdr:cNvPr>
        <xdr:cNvPicPr>
          <a:picLocks noChangeAspect="1"/>
        </xdr:cNvPicPr>
      </xdr:nvPicPr>
      <xdr:blipFill>
        <a:blip xmlns:r="http://schemas.openxmlformats.org/officeDocument/2006/relationships" r:embed="rId1"/>
        <a:stretch>
          <a:fillRect/>
        </a:stretch>
      </xdr:blipFill>
      <xdr:spPr>
        <a:xfrm>
          <a:off x="15955701" y="2200275"/>
          <a:ext cx="1549344" cy="446300"/>
        </a:xfrm>
        <a:prstGeom prst="rect">
          <a:avLst/>
        </a:prstGeom>
      </xdr:spPr>
    </xdr:pic>
    <xdr:clientData/>
  </xdr:oneCellAnchor>
  <xdr:oneCellAnchor>
    <xdr:from>
      <xdr:col>12</xdr:col>
      <xdr:colOff>944301</xdr:colOff>
      <xdr:row>9</xdr:row>
      <xdr:rowOff>0</xdr:rowOff>
    </xdr:from>
    <xdr:ext cx="1549344" cy="494964"/>
    <xdr:pic>
      <xdr:nvPicPr>
        <xdr:cNvPr id="4" name="Picture 3" hidden="1">
          <a:extLst>
            <a:ext uri="{FF2B5EF4-FFF2-40B4-BE49-F238E27FC236}">
              <a16:creationId xmlns:a16="http://schemas.microsoft.com/office/drawing/2014/main" id="{917D85C9-BB98-4E81-BFB2-36CBDAAF2778}"/>
            </a:ext>
          </a:extLst>
        </xdr:cNvPr>
        <xdr:cNvPicPr>
          <a:picLocks noChangeAspect="1"/>
        </xdr:cNvPicPr>
      </xdr:nvPicPr>
      <xdr:blipFill>
        <a:blip xmlns:r="http://schemas.openxmlformats.org/officeDocument/2006/relationships" r:embed="rId1"/>
        <a:stretch>
          <a:fillRect/>
        </a:stretch>
      </xdr:blipFill>
      <xdr:spPr>
        <a:xfrm>
          <a:off x="15955701" y="2200275"/>
          <a:ext cx="1549344" cy="494964"/>
        </a:xfrm>
        <a:prstGeom prst="rect">
          <a:avLst/>
        </a:prstGeom>
      </xdr:spPr>
    </xdr:pic>
    <xdr:clientData/>
  </xdr:oneCellAnchor>
  <xdr:oneCellAnchor>
    <xdr:from>
      <xdr:col>23</xdr:col>
      <xdr:colOff>944301</xdr:colOff>
      <xdr:row>9</xdr:row>
      <xdr:rowOff>0</xdr:rowOff>
    </xdr:from>
    <xdr:ext cx="1553154" cy="444818"/>
    <xdr:pic>
      <xdr:nvPicPr>
        <xdr:cNvPr id="5" name="Picture 4" hidden="1">
          <a:extLst>
            <a:ext uri="{FF2B5EF4-FFF2-40B4-BE49-F238E27FC236}">
              <a16:creationId xmlns:a16="http://schemas.microsoft.com/office/drawing/2014/main" id="{730E952D-DCD4-47D8-BF8E-76A1ACD7153B}"/>
            </a:ext>
          </a:extLst>
        </xdr:cNvPr>
        <xdr:cNvPicPr>
          <a:picLocks noChangeAspect="1"/>
        </xdr:cNvPicPr>
      </xdr:nvPicPr>
      <xdr:blipFill>
        <a:blip xmlns:r="http://schemas.openxmlformats.org/officeDocument/2006/relationships" r:embed="rId1"/>
        <a:stretch>
          <a:fillRect/>
        </a:stretch>
      </xdr:blipFill>
      <xdr:spPr>
        <a:xfrm>
          <a:off x="16325850" y="2200275"/>
          <a:ext cx="1553154" cy="444818"/>
        </a:xfrm>
        <a:prstGeom prst="rect">
          <a:avLst/>
        </a:prstGeom>
      </xdr:spPr>
    </xdr:pic>
    <xdr:clientData/>
  </xdr:oneCellAnchor>
  <xdr:oneCellAnchor>
    <xdr:from>
      <xdr:col>23</xdr:col>
      <xdr:colOff>944301</xdr:colOff>
      <xdr:row>9</xdr:row>
      <xdr:rowOff>0</xdr:rowOff>
    </xdr:from>
    <xdr:ext cx="1549344" cy="446300"/>
    <xdr:pic>
      <xdr:nvPicPr>
        <xdr:cNvPr id="6" name="Picture 5" hidden="1">
          <a:extLst>
            <a:ext uri="{FF2B5EF4-FFF2-40B4-BE49-F238E27FC236}">
              <a16:creationId xmlns:a16="http://schemas.microsoft.com/office/drawing/2014/main" id="{6EC8C7C0-86A0-4E36-B69F-3B09B9B9DCC4}"/>
            </a:ext>
          </a:extLst>
        </xdr:cNvPr>
        <xdr:cNvPicPr>
          <a:picLocks noChangeAspect="1"/>
        </xdr:cNvPicPr>
      </xdr:nvPicPr>
      <xdr:blipFill>
        <a:blip xmlns:r="http://schemas.openxmlformats.org/officeDocument/2006/relationships" r:embed="rId1"/>
        <a:stretch>
          <a:fillRect/>
        </a:stretch>
      </xdr:blipFill>
      <xdr:spPr>
        <a:xfrm>
          <a:off x="16325850" y="2200275"/>
          <a:ext cx="1549344" cy="446300"/>
        </a:xfrm>
        <a:prstGeom prst="rect">
          <a:avLst/>
        </a:prstGeom>
      </xdr:spPr>
    </xdr:pic>
    <xdr:clientData/>
  </xdr:oneCellAnchor>
  <xdr:oneCellAnchor>
    <xdr:from>
      <xdr:col>23</xdr:col>
      <xdr:colOff>944301</xdr:colOff>
      <xdr:row>9</xdr:row>
      <xdr:rowOff>0</xdr:rowOff>
    </xdr:from>
    <xdr:ext cx="1549344" cy="494964"/>
    <xdr:pic>
      <xdr:nvPicPr>
        <xdr:cNvPr id="7" name="Picture 6" hidden="1">
          <a:extLst>
            <a:ext uri="{FF2B5EF4-FFF2-40B4-BE49-F238E27FC236}">
              <a16:creationId xmlns:a16="http://schemas.microsoft.com/office/drawing/2014/main" id="{DD1BA45C-4E85-4780-AA11-3DACB68ACE77}"/>
            </a:ext>
          </a:extLst>
        </xdr:cNvPr>
        <xdr:cNvPicPr>
          <a:picLocks noChangeAspect="1"/>
        </xdr:cNvPicPr>
      </xdr:nvPicPr>
      <xdr:blipFill>
        <a:blip xmlns:r="http://schemas.openxmlformats.org/officeDocument/2006/relationships" r:embed="rId1"/>
        <a:stretch>
          <a:fillRect/>
        </a:stretch>
      </xdr:blipFill>
      <xdr:spPr>
        <a:xfrm>
          <a:off x="16325850" y="2200275"/>
          <a:ext cx="1549344" cy="494964"/>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Heiny Peck" id="{738B746C-4C09-445C-B8FE-621602696C31}" userId="S::PeckHG@eskom.co.za::d76039fb-a41c-4a72-8a74-a6bc0cc0d21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21E81F3-0CD7-4733-8ED9-F7769996A956}" name="Table9" displayName="Table9" ref="A19:AI21" totalsRowShown="0" headerRowDxfId="340" dataDxfId="338" headerRowBorderDxfId="339" tableBorderDxfId="337" totalsRowBorderDxfId="336">
  <autoFilter ref="A19:AI21" xr:uid="{E21E81F3-0CD7-4733-8ED9-F7769996A956}"/>
  <tableColumns count="35">
    <tableColumn id="1" xr3:uid="{30CD54A5-1CF8-47F1-B412-1A3DFFAE1C91}" name="Intem#" dataDxfId="335"/>
    <tableColumn id="2" xr3:uid="{A21E39F1-ADC7-4646-836D-409E961BB9E5}" name="Business requirements " dataDxfId="334"/>
    <tableColumn id="3" xr3:uid="{6E935421-5062-406F-82D3-F3CA9D74433C}" name="Mandatory Returnables - This colunm lists the mandotory evidence to be provided by the vendor in the technical file and numbered to align with each criteria question. " dataDxfId="333"/>
    <tableColumn id="4" xr3:uid="{A0D3A1FF-BA7F-4AF4-B5F9-F40B54869C54}" name="Vendor Response: Vendor to indicate if, and to what extent they meet the requirement, detail must be provided in the tender submission" dataDxfId="332"/>
    <tableColumn id="5" xr3:uid="{9FFAF5DA-D885-4DC1-B683-2DAE01C05557}" name="Vendor Evidence: Location of Supporting Document/detailed response in your tender submission (state the file number, section &amp; page number)" dataDxfId="331"/>
    <tableColumn id="6" xr3:uid="{7EA67A68-8427-4C09-BDFB-A2AEFD303F42}" name="Priority Description" dataDxfId="330"/>
    <tableColumn id="7" xr3:uid="{A63BE23B-05DF-4F1D-A1B4-9DD468686629}" name="Priority" dataDxfId="329">
      <calculatedColumnFormula array="1">_xlfn.IFS(F20="","",F20="No interest",0,F20="Nice to have",1,F20="Useful",2,F20="Important",3,F20="Very important",4,F20="Critical",5,F20="Show stopper",6)</calculatedColumnFormula>
    </tableColumn>
    <tableColumn id="8" xr3:uid="{B8ED9736-8573-4302-BE70-72ABB3614B44}" name="Weight" dataDxfId="328" dataCellStyle="Percent">
      <calculatedColumnFormula>(G20/$G$18)*$F$18</calculatedColumnFormula>
    </tableColumn>
    <tableColumn id="9" xr3:uid="{BDD06966-B18B-44A0-B057-87E18E551049}" name="Selection Option" dataDxfId="327"/>
    <tableColumn id="10" xr3:uid="{9ED9B463-633A-4EA1-9C04-AF4A65605CDD}" name="Option Score" dataDxfId="326">
      <calculatedColumnFormula array="1">_xlfn.TEXTJOIN(","&amp;CHAR(10),,TEXT(Table9[[#This Row],[12]:[22]],"0,00%"))</calculatedColumnFormula>
    </tableColumn>
    <tableColumn id="11" xr3:uid="{80948B11-130E-4CC7-98FF-F42E42EB6266}" name="Evaluators Response (SELECT)" dataDxfId="325"/>
    <tableColumn id="12" xr3:uid="{7C509331-9E2A-4795-ABF5-0F9CCD204D4A}" name="Score" dataDxfId="324">
      <calculatedColumnFormula>H20-(H20*((MATCH(Table24[[#This Row],[Evaluators Response (SELECT)]],Table24[[#This Row],[1]:[11]],0)-1)/(COUNTA(Table24[[#This Row],[1]:[11]])-COUNTBLANK(Table24[[#This Row],[1]:[11]])-1)))</calculatedColumnFormula>
    </tableColumn>
    <tableColumn id="13" xr3:uid="{7592EE7D-8FC6-48EE-B10D-EFB983B7EC5A}" name="Evaluator comments" dataDxfId="323"/>
    <tableColumn id="14" xr3:uid="{76AF9911-3BA8-4DB7-AA31-C98A86EE76A8}" name="1" dataDxfId="322">
      <calculatedColumnFormula array="1">IFERROR(INDEX(_xlfn.UNIQUE(TRIM(_xlfn.TEXTSPLIT(Table9[[#This Row],[Selection Option]:[Selection Option]],","))),,N$18),"")</calculatedColumnFormula>
    </tableColumn>
    <tableColumn id="15" xr3:uid="{829A7325-A189-4E8E-ACAE-7B333F386AB1}" name="2" dataDxfId="321">
      <calculatedColumnFormula array="1">IFERROR(INDEX(_xlfn.UNIQUE(TRIM(_xlfn.TEXTSPLIT(Table9[[#This Row],[Selection Option]:[Selection Option]],","))),,O$18),"")</calculatedColumnFormula>
    </tableColumn>
    <tableColumn id="16" xr3:uid="{CDE3F9B0-4A4E-4EE7-BB4F-E1391B71ECAB}" name="3" dataDxfId="320">
      <calculatedColumnFormula array="1">IFERROR(INDEX(_xlfn.UNIQUE(TRIM(_xlfn.TEXTSPLIT(Table9[[#This Row],[Selection Option]:[Selection Option]],","))),,P$18),"")</calculatedColumnFormula>
    </tableColumn>
    <tableColumn id="17" xr3:uid="{A513037E-D4B4-4791-96F8-F4EE074B8CC6}" name="4" dataDxfId="319">
      <calculatedColumnFormula array="1">IFERROR(INDEX(_xlfn.UNIQUE(TRIM(_xlfn.TEXTSPLIT(Table9[[#This Row],[Selection Option]:[Selection Option]],","))),,Q$18),"")</calculatedColumnFormula>
    </tableColumn>
    <tableColumn id="18" xr3:uid="{BFBFD067-3172-4AF4-B22B-44E5723D74D3}" name="5" dataDxfId="318">
      <calculatedColumnFormula array="1">IFERROR(INDEX(_xlfn.UNIQUE(TRIM(_xlfn.TEXTSPLIT(Table9[[#This Row],[Selection Option]:[Selection Option]],","))),,R$18),"")</calculatedColumnFormula>
    </tableColumn>
    <tableColumn id="19" xr3:uid="{F969CB0A-7605-4295-9E6F-4B1A145A389B}" name="6" dataDxfId="317">
      <calculatedColumnFormula array="1">IFERROR(INDEX(_xlfn.UNIQUE(TRIM(_xlfn.TEXTSPLIT(Table9[[#This Row],[Selection Option]:[Selection Option]],","))),,S$18),"")</calculatedColumnFormula>
    </tableColumn>
    <tableColumn id="20" xr3:uid="{DAC80CD7-1B83-4748-AC20-CE0071822C44}" name="7" dataDxfId="316">
      <calculatedColumnFormula array="1">IFERROR(INDEX(_xlfn.UNIQUE(TRIM(_xlfn.TEXTSPLIT(Table9[[#This Row],[Selection Option]:[Selection Option]],","))),,T$18),"")</calculatedColumnFormula>
    </tableColumn>
    <tableColumn id="21" xr3:uid="{BAD34264-610C-44AC-BDC5-38F40A245A82}" name="8" dataDxfId="315">
      <calculatedColumnFormula array="1">IFERROR(INDEX(_xlfn.UNIQUE(TRIM(_xlfn.TEXTSPLIT(Table9[[#This Row],[Selection Option]:[Selection Option]],","))),,U$18),"")</calculatedColumnFormula>
    </tableColumn>
    <tableColumn id="22" xr3:uid="{38C4D623-481A-406A-803B-E49D4D3A1902}" name="9" dataDxfId="314">
      <calculatedColumnFormula array="1">IFERROR(INDEX(_xlfn.UNIQUE(TRIM(_xlfn.TEXTSPLIT(Table9[[#This Row],[Selection Option]:[Selection Option]],","))),,V$18),"")</calculatedColumnFormula>
    </tableColumn>
    <tableColumn id="23" xr3:uid="{C1D169C6-53A8-4A70-A560-0FC53A35B6DB}" name="10" dataDxfId="313">
      <calculatedColumnFormula array="1">IFERROR(INDEX(_xlfn.UNIQUE(TRIM(_xlfn.TEXTSPLIT(Table9[[#This Row],[Selection Option]:[Selection Option]],","))),,W$18),"")</calculatedColumnFormula>
    </tableColumn>
    <tableColumn id="24" xr3:uid="{537224B4-7FFD-46BA-87EE-532CA5C9FD4F}" name="11" dataDxfId="312">
      <calculatedColumnFormula array="1">IFERROR(INDEX(_xlfn.UNIQUE(TRIM(_xlfn.TEXTSPLIT(Table9[[#This Row],[Selection Option]:[Selection Option]],","))),,X$18),"")</calculatedColumnFormula>
    </tableColumn>
    <tableColumn id="25" xr3:uid="{99A7A388-A463-4FA6-A290-602B7636F06A}" name="12" dataDxfId="311">
      <calculatedColumnFormula array="1">IF(Table9[[#This Row],[1]]="","",Table9[[#This Row],[Weight]:[Weight]]-(Table9[[#This Row],[Weight]:[Weight]]*((_xlfn.XMATCH(Table9[[#This Row],[1]],Table9[[#This Row],[1]:[11]],0))-1)/(COUNTA(Table9[[#This Row],[1]:[11]])-COUNTBLANK(Table9[[#This Row],[1]:[11]])-1)))</calculatedColumnFormula>
    </tableColumn>
    <tableColumn id="26" xr3:uid="{36CE87D7-DCE6-4BF5-8939-2FFD503E598B}" name="13" dataDxfId="310">
      <calculatedColumnFormula array="1">IF(Table9[[#This Row],[2]]="","",Table9[[#This Row],[Weight]:[Weight]]-(Table9[[#This Row],[Weight]:[Weight]]*((_xlfn.XMATCH(Table9[[#This Row],[2]],Table9[[#This Row],[1]:[11]],0))-1)/(COUNTA(Table9[[#This Row],[1]:[11]])-COUNTBLANK(Table9[[#This Row],[1]:[11]])-1)))</calculatedColumnFormula>
    </tableColumn>
    <tableColumn id="27" xr3:uid="{72EEC2B8-A37E-412F-9212-E0269D8F1FC4}" name="14" dataDxfId="309">
      <calculatedColumnFormula array="1">IF(Table9[[#This Row],[3]]="","",Table9[[#This Row],[Weight]:[Weight]]-(Table9[[#This Row],[Weight]:[Weight]]*((_xlfn.XMATCH(Table9[[#This Row],[3]],Table9[[#This Row],[1]:[11]],0))-1)/(COUNTA(Table9[[#This Row],[1]:[11]])-COUNTBLANK(Table9[[#This Row],[1]:[11]])-1)))</calculatedColumnFormula>
    </tableColumn>
    <tableColumn id="28" xr3:uid="{2B1BA063-5FD3-4D1C-BD11-459AD5A9F86C}" name="15" dataDxfId="308">
      <calculatedColumnFormula array="1">IF(Table9[[#This Row],[4]]="","",Table9[[#This Row],[Weight]:[Weight]]-(Table9[[#This Row],[Weight]:[Weight]]*((_xlfn.XMATCH(Table9[[#This Row],[4]],Table9[[#This Row],[1]:[11]],0))-1)/(COUNTA(Table9[[#This Row],[1]:[11]])-COUNTBLANK(Table9[[#This Row],[1]:[11]])-1)))</calculatedColumnFormula>
    </tableColumn>
    <tableColumn id="29" xr3:uid="{FCD3F37B-0AD5-4145-B51F-016D737F7813}" name="16" dataDxfId="307">
      <calculatedColumnFormula array="1">IF(Table9[[#This Row],[5]]="","",Table9[[#This Row],[Weight]:[Weight]]-(Table9[[#This Row],[Weight]:[Weight]]*((_xlfn.XMATCH(Table9[[#This Row],[5]],Table9[[#This Row],[1]:[11]],0))-1)/(COUNTA(Table9[[#This Row],[1]:[11]])-COUNTBLANK(Table9[[#This Row],[1]:[11]])-1)))</calculatedColumnFormula>
    </tableColumn>
    <tableColumn id="30" xr3:uid="{D8D87066-C8BB-4196-9082-CB8690E407A9}" name="17" dataDxfId="306">
      <calculatedColumnFormula array="1">IF(Table9[[#This Row],[6]]="","",Table9[[#This Row],[Weight]:[Weight]]-(Table9[[#This Row],[Weight]:[Weight]]*((_xlfn.XMATCH(Table9[[#This Row],[6]],Table9[[#This Row],[1]:[11]],0))-1)/(COUNTA(Table9[[#This Row],[1]:[11]])-COUNTBLANK(Table9[[#This Row],[1]:[11]])-1)))</calculatedColumnFormula>
    </tableColumn>
    <tableColumn id="31" xr3:uid="{3958FCBD-B6A4-498F-BDAB-DCF7C97B6407}" name="18" dataDxfId="305">
      <calculatedColumnFormula array="1">IF(Table9[[#This Row],[7]]="","",Table9[[#This Row],[Weight]:[Weight]]-(Table9[[#This Row],[Weight]:[Weight]]*((_xlfn.XMATCH(Table9[[#This Row],[7]],Table9[[#This Row],[1]:[11]],0))-1)/(COUNTA(Table9[[#This Row],[1]:[11]])-COUNTBLANK(Table9[[#This Row],[1]:[11]])-1)))</calculatedColumnFormula>
    </tableColumn>
    <tableColumn id="32" xr3:uid="{C5E3DDF0-2BA5-4E22-A7AB-76135A20669F}" name="19" dataDxfId="304">
      <calculatedColumnFormula array="1">IF(Table9[[#This Row],[8]]="","",Table9[[#This Row],[Weight]:[Weight]]-(Table9[[#This Row],[Weight]:[Weight]]*((_xlfn.XMATCH(Table9[[#This Row],[8]],Table9[[#This Row],[1]:[11]],0))-1)/(COUNTA(Table9[[#This Row],[1]:[11]])-COUNTBLANK(Table9[[#This Row],[1]:[11]])-1)))</calculatedColumnFormula>
    </tableColumn>
    <tableColumn id="33" xr3:uid="{00F37AE9-4411-495C-BCA5-7D793C48E800}" name="20" dataDxfId="303">
      <calculatedColumnFormula array="1">IF(Table9[[#This Row],[9]]="","",Table9[[#This Row],[Weight]:[Weight]]-(Table9[[#This Row],[Weight]:[Weight]]*((_xlfn.XMATCH(Table9[[#This Row],[9]],Table9[[#This Row],[1]:[11]],0))-1)/(COUNTA(Table9[[#This Row],[1]:[11]])-COUNTBLANK(Table9[[#This Row],[1]:[11]])-1)))</calculatedColumnFormula>
    </tableColumn>
    <tableColumn id="34" xr3:uid="{B600C1AC-8C35-45B8-956F-1982FA263715}" name="21" dataDxfId="302">
      <calculatedColumnFormula array="1">IF(Table9[[#This Row],[10]]="","",Table9[[#This Row],[Weight]:[Weight]]-(Table9[[#This Row],[Weight]:[Weight]]*((_xlfn.XMATCH(Table9[[#This Row],[10]],Table9[[#This Row],[1]:[11]],0))-1)/(COUNTA(Table9[[#This Row],[1]:[11]])-COUNTBLANK(Table9[[#This Row],[1]:[11]])-1)))</calculatedColumnFormula>
    </tableColumn>
    <tableColumn id="35" xr3:uid="{21ADA048-D9B0-4329-A967-8FA483AEAB96}" name="22" dataDxfId="301">
      <calculatedColumnFormula array="1">IF(Table9[[#This Row],[11]]="","",Table9[[#This Row],[Weight]:[Weight]]-(Table9[[#This Row],[Weight]:[Weight]]*((_xlfn.XMATCH(Table9[[#This Row],[11]],Table9[[#This Row],[1]:[11]],0))-1)/(COUNTA(Table9[[#This Row],[1]:[11]])-COUNTBLANK(Table9[[#This Row],[1]:[11]])-1)))</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96B21-5682-485E-819E-8177B0758C55}" name="Table24" displayName="Table24" ref="A12:AI15" totalsRowShown="0" headerRowDxfId="300" dataDxfId="298" headerRowBorderDxfId="299" tableBorderDxfId="297" totalsRowBorderDxfId="296">
  <autoFilter ref="A12:AI15" xr:uid="{DBBFD16F-C697-4B03-8565-497D940E477E}"/>
  <tableColumns count="35">
    <tableColumn id="1" xr3:uid="{FC0D3B50-2605-4FB4-9E65-2844A864AA02}" name="Item#" dataDxfId="295"/>
    <tableColumn id="2" xr3:uid="{31EDD415-9A08-49E2-B9A8-D2AF61B3CB71}" name="Business requirements " dataDxfId="294"/>
    <tableColumn id="3" xr3:uid="{123DB69B-7918-4851-9862-E68E4C829DBB}" name="Mandatory Returnables - This column lists the mandatory evidence to be provided by the vendor in the technical file and numbered to align with each criteria question. " dataDxfId="293"/>
    <tableColumn id="4" xr3:uid="{B79C3982-2DB5-4D0C-AA46-F566B82652F6}" name="Vendor Response: Vendor to indicate if, and to what extent they meet the requirement, detail must be provided in the tender submission" dataDxfId="292"/>
    <tableColumn id="5" xr3:uid="{85EBD568-E4D0-4BB1-8B9E-270E883EB004}" name="Vendor Evidence: Location of Supporting Document/detailed response in your tender submission (state the file number, section &amp; page number)" dataDxfId="291"/>
    <tableColumn id="6" xr3:uid="{9A68C220-DE1B-4E22-BAC3-1C31673C0BC2}" name="Priority Description" dataDxfId="290"/>
    <tableColumn id="7" xr3:uid="{77DC0042-6B66-4165-9FE0-2B52C6BD970A}" name="Priority" dataDxfId="289">
      <calculatedColumnFormula array="1">_xlfn.IFS(F13="","",F13="No interest",0,F13="Nice to have",1,F13="Useful",2,F13="Important",3,F13="Very important",4,F13="Critical",5,F13="Show stopper",6)</calculatedColumnFormula>
    </tableColumn>
    <tableColumn id="8" xr3:uid="{179D36C0-6EF0-4331-8A62-BC5228C7B905}" name="Weight" dataDxfId="288" dataCellStyle="Percent">
      <calculatedColumnFormula>(G13/$G$11)*$F$11</calculatedColumnFormula>
    </tableColumn>
    <tableColumn id="9" xr3:uid="{2D484EB2-91FB-49C0-AC1A-A55D03B66A0D}" name="Selection Option" dataDxfId="287"/>
    <tableColumn id="42" xr3:uid="{B98D89B5-B1E2-4AC5-9736-09F2C3958D81}" name="Option Score" dataDxfId="286">
      <calculatedColumnFormula array="1">_xlfn.TEXTJOIN(" "&amp;CHAR(10),,TEXT(SUBSTITUTE(Table24[[#This Row],[12]:[22]],".",","),"0,00%"))</calculatedColumnFormula>
    </tableColumn>
    <tableColumn id="11" xr3:uid="{B998B592-B666-46E3-89F9-AF864066B2D3}" name="Evaluators Response (SELECT)" dataDxfId="285"/>
    <tableColumn id="12" xr3:uid="{FDD38330-02A0-404A-8770-6B5A5BCBA8A8}" name="Score" dataDxfId="284">
      <calculatedColumnFormula>H13-(H13*((MATCH(Table24[[#This Row],[Evaluators Response (SELECT)]],Table24[[#This Row],[1]:[11]],0)-1)/(COUNTA(Table24[[#This Row],[1]:[11]])-COUNTBLANK(Table24[[#This Row],[1]:[11]])-1)))</calculatedColumnFormula>
    </tableColumn>
    <tableColumn id="13" xr3:uid="{C90F6CE8-6B96-4678-A2C8-B0620AD4A8E7}" name="Evaluator comments" dataDxfId="283"/>
    <tableColumn id="14" xr3:uid="{9CDC49A5-6C05-4666-A6B4-2358C01356DC}" name="1" dataDxfId="282">
      <calculatedColumnFormula array="1">IFERROR(INDEX(_xlfn.UNIQUE(TRIM(_xlfn.TEXTSPLIT(Table24[[#This Row],[Selection Option]:[Selection Option]],","))),,N$11),"")</calculatedColumnFormula>
    </tableColumn>
    <tableColumn id="15" xr3:uid="{6BC4B9E9-E3E5-4492-B88A-598C31B87C8F}" name="2" dataDxfId="281"/>
    <tableColumn id="16" xr3:uid="{B5BF56A7-D715-44E6-995C-47CCF947F4EE}" name="3" dataDxfId="280"/>
    <tableColumn id="17" xr3:uid="{F0FA9131-A05E-41B9-9232-EA130284EFA5}" name="4" dataDxfId="279"/>
    <tableColumn id="18" xr3:uid="{FFBC81E3-38D5-492B-AE09-483B06187110}" name="5" dataDxfId="278"/>
    <tableColumn id="25" xr3:uid="{C666B1C1-20B4-49A4-9959-745949F8838F}" name="6" dataDxfId="277"/>
    <tableColumn id="26" xr3:uid="{3A8BFF70-AA23-461F-82C3-7A618C7FC5E5}" name="7" dataDxfId="276"/>
    <tableColumn id="27" xr3:uid="{F92470DF-78D9-42B8-8721-294EA81B8171}" name="8" dataDxfId="275"/>
    <tableColumn id="28" xr3:uid="{FC49C561-7B24-4D60-9A7D-FAE90B24423C}" name="9" dataDxfId="274"/>
    <tableColumn id="29" xr3:uid="{79B07CA5-CFE4-4534-B625-5840F17BDB1B}" name="10" dataDxfId="273"/>
    <tableColumn id="30" xr3:uid="{20C1249C-8AAF-4219-9D62-42313CCAAD44}" name="11" dataDxfId="272"/>
    <tableColumn id="31" xr3:uid="{18EEF021-AAC0-48DC-A7F7-D1BAF859E88B}" name="12" dataDxfId="271">
      <calculatedColumnFormula array="1">IF(Table24[[#This Row],[1]]="","",Table24[[#This Row],[Weight]:[Weight]]-(Table24[[#This Row],[Weight]:[Weight]]*((_xlfn.XMATCH(Table24[[#This Row],[1]],Table24[[#This Row],[1]:[11]],0))-1)/(COUNTA(Table24[[#This Row],[1]:[11]])-COUNTBLANK(Table24[[#This Row],[1]:[11]])-1)))</calculatedColumnFormula>
    </tableColumn>
    <tableColumn id="32" xr3:uid="{4E4777C3-0398-4BA1-81AE-0C87E6F955CA}" name="13" dataDxfId="270">
      <calculatedColumnFormula array="1">IF(Table24[[#This Row],[2]]="","",Table24[[#This Row],[Weight]:[Weight]]-(Table24[[#This Row],[Weight]:[Weight]]*((_xlfn.XMATCH(Table24[[#This Row],[2]],Table24[[#This Row],[1]:[11]],0))-1)/(COUNTA(Table24[[#This Row],[1]:[11]])-COUNTBLANK(Table24[[#This Row],[1]:[11]])-1)))</calculatedColumnFormula>
    </tableColumn>
    <tableColumn id="33" xr3:uid="{367B8BBE-89C7-463B-BCBF-BA4FC8E453D1}" name="14" dataDxfId="269">
      <calculatedColumnFormula array="1">IF(Table24[[#This Row],[3]]="","",Table24[[#This Row],[Weight]:[Weight]]-(Table24[[#This Row],[Weight]:[Weight]]*((_xlfn.XMATCH(Table24[[#This Row],[3]],Table24[[#This Row],[1]:[11]],0))-1)/(COUNTA(Table24[[#This Row],[1]:[11]])-COUNTBLANK(Table24[[#This Row],[1]:[11]])-1)))</calculatedColumnFormula>
    </tableColumn>
    <tableColumn id="34" xr3:uid="{80F0AE69-27BC-40F8-B3AA-3F58DA9858C3}" name="15" dataDxfId="268">
      <calculatedColumnFormula array="1">IF(Table24[[#This Row],[4]]="","",Table24[[#This Row],[Weight]:[Weight]]-(Table24[[#This Row],[Weight]:[Weight]]*((_xlfn.XMATCH(Table24[[#This Row],[4]],Table24[[#This Row],[1]:[11]],0))-1)/(COUNTA(Table24[[#This Row],[1]:[11]])-COUNTBLANK(Table24[[#This Row],[1]:[11]])-1)))</calculatedColumnFormula>
    </tableColumn>
    <tableColumn id="35" xr3:uid="{E273CA0E-9DE9-4A40-8223-BFAFA9BB0293}" name="16" dataDxfId="267">
      <calculatedColumnFormula array="1">IF(Table24[[#This Row],[5]]="","",Table24[[#This Row],[Weight]:[Weight]]-(Table24[[#This Row],[Weight]:[Weight]]*((_xlfn.XMATCH(Table24[[#This Row],[5]],Table24[[#This Row],[1]:[11]],0))-1)/(COUNTA(Table24[[#This Row],[1]:[11]])-COUNTBLANK(Table24[[#This Row],[1]:[11]])-1)))</calculatedColumnFormula>
    </tableColumn>
    <tableColumn id="36" xr3:uid="{68A0912C-F7EB-4793-8346-9BBD283646F0}" name="17" dataDxfId="266">
      <calculatedColumnFormula array="1">IF(Table24[[#This Row],[6]]="","",Table24[[#This Row],[Weight]:[Weight]]-(Table24[[#This Row],[Weight]:[Weight]]*((_xlfn.XMATCH(Table24[[#This Row],[6]],Table24[[#This Row],[1]:[11]],0))-1)/(COUNTA(Table24[[#This Row],[1]:[11]])-COUNTBLANK(Table24[[#This Row],[1]:[11]])-1)))</calculatedColumnFormula>
    </tableColumn>
    <tableColumn id="37" xr3:uid="{99377EFE-C696-446E-B319-B5F1364C856B}" name="18" dataDxfId="265">
      <calculatedColumnFormula array="1">IF(Table24[[#This Row],[7]]="","",Table24[[#This Row],[Weight]:[Weight]]-(Table24[[#This Row],[Weight]:[Weight]]*((_xlfn.XMATCH(Table24[[#This Row],[7]],Table24[[#This Row],[1]:[11]],0))-1)/(COUNTA(Table24[[#This Row],[1]:[11]])-COUNTBLANK(Table24[[#This Row],[1]:[11]])-1)))</calculatedColumnFormula>
    </tableColumn>
    <tableColumn id="38" xr3:uid="{ADCAE048-CD4B-463B-ACC9-37F6F9C0AD70}" name="19" dataDxfId="264">
      <calculatedColumnFormula array="1">IF(Table24[[#This Row],[8]]="","",Table24[[#This Row],[Weight]:[Weight]]-(Table24[[#This Row],[Weight]:[Weight]]*((_xlfn.XMATCH(Table24[[#This Row],[8]],Table24[[#This Row],[1]:[11]],0))-1)/(COUNTA(Table24[[#This Row],[1]:[11]])-COUNTBLANK(Table24[[#This Row],[1]:[11]])-1)))</calculatedColumnFormula>
    </tableColumn>
    <tableColumn id="39" xr3:uid="{723D6487-7E1D-4235-AE7D-4161502E1E9F}" name="20" dataDxfId="263">
      <calculatedColumnFormula array="1">IF(Table24[[#This Row],[9]]="","",Table24[[#This Row],[Weight]:[Weight]]-(Table24[[#This Row],[Weight]:[Weight]]*((_xlfn.XMATCH(Table24[[#This Row],[9]],Table24[[#This Row],[1]:[11]],0))-1)/(COUNTA(Table24[[#This Row],[1]:[11]])-COUNTBLANK(Table24[[#This Row],[1]:[11]])-1)))</calculatedColumnFormula>
    </tableColumn>
    <tableColumn id="40" xr3:uid="{2EE657FB-C8AE-4368-A854-F80142CD20C1}" name="21" dataDxfId="262">
      <calculatedColumnFormula array="1">IF(Table24[[#This Row],[10]]="","",Table24[[#This Row],[Weight]:[Weight]]-(Table24[[#This Row],[Weight]:[Weight]]*((_xlfn.XMATCH(Table24[[#This Row],[10]],Table24[[#This Row],[1]:[11]],0))-1)/(COUNTA(Table24[[#This Row],[1]:[11]])-COUNTBLANK(Table24[[#This Row],[1]:[11]])-1)))</calculatedColumnFormula>
    </tableColumn>
    <tableColumn id="41" xr3:uid="{9E643B2D-4F97-444A-9D0D-D48935C89BA1}" name="22" dataDxfId="261">
      <calculatedColumnFormula array="1">IF(Table24[[#This Row],[11]]="","",Table24[[#This Row],[Weight]:[Weight]]-(Table24[[#This Row],[Weight]:[Weight]]*((_xlfn.XMATCH(Table24[[#This Row],[11]],Table24[[#This Row],[1]:[11]],0))-1)/(COUNTA(Table24[[#This Row],[1]:[11]])-COUNTBLANK(Table24[[#This Row],[1]:[11]])-1)))</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5AFD7F-FAA3-4C14-940D-9BC512DC9BAD}" name="Table2" displayName="Table2" ref="A22:AI65" totalsRowShown="0" headerRowDxfId="260" dataDxfId="258" headerRowBorderDxfId="259" tableBorderDxfId="257" totalsRowBorderDxfId="256">
  <autoFilter ref="A22:AI65" xr:uid="{DBBFD16F-C697-4B03-8565-497D940E477E}"/>
  <tableColumns count="35">
    <tableColumn id="1" xr3:uid="{CBC1F8E6-D191-45FF-B651-C7D1212B92B7}" name="Item#" dataDxfId="255"/>
    <tableColumn id="2" xr3:uid="{E8343E5F-3C9C-460F-A343-8A89BBE9BD54}" name="Business requirements " dataDxfId="254"/>
    <tableColumn id="3" xr3:uid="{86F8DE2C-BB36-471C-B342-F1994426B4BD}" name="Mandatory Returnables - This column lists the mandatory evidence to be provided by the vendor in the technical file and numbered to align with each criteria question. " dataDxfId="253"/>
    <tableColumn id="4" xr3:uid="{9780B393-1AE6-49BF-9B9E-9D8864768828}" name="Vendor Response: Vendor to indicate if, and to what extent they meet the requirement, detail must be provided in the tender submission" dataDxfId="252"/>
    <tableColumn id="5" xr3:uid="{3F551CB4-508D-43CE-946F-A5D5D905E8D3}" name="Vendor Evidence: Location of Supporting Document/detailed response in your tender submission (state the file number, section &amp; page number)" dataDxfId="251"/>
    <tableColumn id="6" xr3:uid="{C3AEEE38-E369-46C3-B627-032CA5236945}" name="Priority Description" dataDxfId="250"/>
    <tableColumn id="7" xr3:uid="{52FD17D8-F746-46FD-A47B-CD805E9B387E}" name="Priority" dataDxfId="249">
      <calculatedColumnFormula array="1">_xlfn.IFS(F23="","",F23="No interest",0,F23="Nice to have",1,F23="Useful",2,F23="Important",3,F23="Very important",4,F23="Critical",5,F23="Show stopper",6)</calculatedColumnFormula>
    </tableColumn>
    <tableColumn id="8" xr3:uid="{787505B4-B9B2-4C90-823E-B9B0D581F872}" name="Weight" dataDxfId="248" dataCellStyle="Percent">
      <calculatedColumnFormula>(G23/$G$21)*$F$21</calculatedColumnFormula>
    </tableColumn>
    <tableColumn id="9" xr3:uid="{E92F2168-3B7F-4ED0-8505-CFAF73DF24D5}" name="Selection Options" dataDxfId="247"/>
    <tableColumn id="42" xr3:uid="{6B457CD8-DA2B-4821-9A18-424F8A129303}" name="Option Score" dataDxfId="246">
      <calculatedColumnFormula array="1">_xlfn.TEXTJOIN(" "&amp;CHAR(10),,TEXT(SUBSTITUTE(Table2[[#This Row],[12]:[22]],".",","),"0,00%"))</calculatedColumnFormula>
    </tableColumn>
    <tableColumn id="11" xr3:uid="{CEF004B6-6F0B-44F6-8351-88C61D4C64BD}" name="Evaluators Response (SELECT)" dataDxfId="245"/>
    <tableColumn id="12" xr3:uid="{A8D6CFF9-790A-4E15-A24C-3BF6F31FC6D5}" name="Score" dataDxfId="244">
      <calculatedColumnFormula>H23-(H23*((MATCH(Table2[[#This Row],[Evaluators Response (SELECT)]],Table2[[#This Row],[1]:[11]],0)-1)/(COUNTA(Table2[[#This Row],[1]:[11]])-COUNTBLANK(Table2[[#This Row],[1]:[11]])-1)))</calculatedColumnFormula>
    </tableColumn>
    <tableColumn id="13" xr3:uid="{590139EA-5FFE-4543-961F-528DCF5AB5DF}" name="Evaluator comments" dataDxfId="243"/>
    <tableColumn id="14" xr3:uid="{48BD5256-CFF5-463A-934F-1A374093E54A}" name="1" dataDxfId="242">
      <calculatedColumnFormula array="1">IFERROR(INDEX(_xlfn.UNIQUE(TRIM(_xlfn.TEXTSPLIT(Table2[[#This Row],[Selection Options]:[Selection Options]],","))),,N$21),"")</calculatedColumnFormula>
    </tableColumn>
    <tableColumn id="15" xr3:uid="{A1D3CBE5-26DD-4A1A-A2B4-F965289E5719}" name="2" dataDxfId="241"/>
    <tableColumn id="16" xr3:uid="{FF17B306-83E1-4BE1-85AA-2CD0CB100BAE}" name="3" dataDxfId="240"/>
    <tableColumn id="17" xr3:uid="{5D172CC8-EF94-46BB-BADB-86B97E44831F}" name="4" dataDxfId="239"/>
    <tableColumn id="18" xr3:uid="{77E372B4-E375-498A-A484-E46E3C72273E}" name="5" dataDxfId="238"/>
    <tableColumn id="25" xr3:uid="{32395E3F-4ADE-42F4-A2AA-0B30DE64D4E8}" name="6" dataDxfId="237"/>
    <tableColumn id="26" xr3:uid="{22323323-BB32-488F-85DE-963F8EC1C0F3}" name="7" dataDxfId="236"/>
    <tableColumn id="27" xr3:uid="{2702CED0-5B48-4C12-9405-70A445636A6E}" name="8" dataDxfId="235"/>
    <tableColumn id="28" xr3:uid="{ED059229-4C1C-4FA9-8DCB-B0B4566A157B}" name="9" dataDxfId="234"/>
    <tableColumn id="29" xr3:uid="{2FA362FF-2677-4649-B00C-08E86B668626}" name="10" dataDxfId="233"/>
    <tableColumn id="30" xr3:uid="{79C61157-0ECE-441A-B648-AB5F21D4F2B2}" name="11" dataDxfId="232"/>
    <tableColumn id="31" xr3:uid="{E5DD3B79-DFC8-4FA6-8B70-1151B755864B}" name="12" dataDxfId="231">
      <calculatedColumnFormula array="1">IF(Table2[[#This Row],[1]]="","",Table2[[#This Row],[Weight]:[Weight]]-(Table2[[#This Row],[Weight]:[Weight]]*((_xlfn.XMATCH(Table2[[#This Row],[1]],Table2[[#This Row],[1]:[11]],0))-1)/(COUNTA(Table2[[#This Row],[1]:[11]])-COUNTBLANK(Table2[[#This Row],[1]:[11]])-1)))</calculatedColumnFormula>
    </tableColumn>
    <tableColumn id="32" xr3:uid="{EDC430F9-1095-41A2-AA6C-C637DB8A3EE3}" name="13" dataDxfId="230">
      <calculatedColumnFormula array="1">IF(Table2[[#This Row],[2]]="","",Table2[[#This Row],[Weight]:[Weight]]-(Table2[[#This Row],[Weight]:[Weight]]*((_xlfn.XMATCH(Table2[[#This Row],[2]],Table2[[#This Row],[1]:[11]],0))-1)/(COUNTA(Table2[[#This Row],[1]:[11]])-COUNTBLANK(Table2[[#This Row],[1]:[11]])-1)))</calculatedColumnFormula>
    </tableColumn>
    <tableColumn id="33" xr3:uid="{B958F76A-C62A-446C-B97E-B92C22BFD910}" name="14" dataDxfId="229">
      <calculatedColumnFormula array="1">IF(Table2[[#This Row],[3]]="","",Table2[[#This Row],[Weight]:[Weight]]-(Table2[[#This Row],[Weight]:[Weight]]*((_xlfn.XMATCH(Table2[[#This Row],[3]],Table2[[#This Row],[1]:[11]],0))-1)/(COUNTA(Table2[[#This Row],[1]:[11]])-COUNTBLANK(Table2[[#This Row],[1]:[11]])-1)))</calculatedColumnFormula>
    </tableColumn>
    <tableColumn id="34" xr3:uid="{43EACFDE-2F80-426A-A7E2-2AC0F00E82B9}" name="15" dataDxfId="228">
      <calculatedColumnFormula array="1">IF(Table2[[#This Row],[4]]="","",Table2[[#This Row],[Weight]:[Weight]]-(Table2[[#This Row],[Weight]:[Weight]]*((_xlfn.XMATCH(Table2[[#This Row],[4]],Table2[[#This Row],[1]:[11]],0))-1)/(COUNTA(Table2[[#This Row],[1]:[11]])-COUNTBLANK(Table2[[#This Row],[1]:[11]])-1)))</calculatedColumnFormula>
    </tableColumn>
    <tableColumn id="35" xr3:uid="{5637CBB3-AAFB-48B3-A04C-81C749017556}" name="16" dataDxfId="227">
      <calculatedColumnFormula array="1">IF(Table2[[#This Row],[5]]="","",Table2[[#This Row],[Weight]:[Weight]]-(Table2[[#This Row],[Weight]:[Weight]]*((_xlfn.XMATCH(Table2[[#This Row],[5]],Table2[[#This Row],[1]:[11]],0))-1)/(COUNTA(Table2[[#This Row],[1]:[11]])-COUNTBLANK(Table2[[#This Row],[1]:[11]])-1)))</calculatedColumnFormula>
    </tableColumn>
    <tableColumn id="36" xr3:uid="{72F1062F-7C2E-4BBA-A944-19050426932E}" name="17" dataDxfId="226">
      <calculatedColumnFormula array="1">IF(Table2[[#This Row],[6]]="","",Table2[[#This Row],[Weight]:[Weight]]-(Table2[[#This Row],[Weight]:[Weight]]*((_xlfn.XMATCH(Table2[[#This Row],[6]],Table2[[#This Row],[1]:[11]],0))-1)/(COUNTA(Table2[[#This Row],[1]:[11]])-COUNTBLANK(Table2[[#This Row],[1]:[11]])-1)))</calculatedColumnFormula>
    </tableColumn>
    <tableColumn id="37" xr3:uid="{726FF757-2CC5-4F9B-A84D-B67C6551E0B3}" name="18" dataDxfId="225">
      <calculatedColumnFormula array="1">IF(Table2[[#This Row],[7]]="","",Table2[[#This Row],[Weight]:[Weight]]-(Table2[[#This Row],[Weight]:[Weight]]*((_xlfn.XMATCH(Table2[[#This Row],[7]],Table2[[#This Row],[1]:[11]],0))-1)/(COUNTA(Table2[[#This Row],[1]:[11]])-COUNTBLANK(Table2[[#This Row],[1]:[11]])-1)))</calculatedColumnFormula>
    </tableColumn>
    <tableColumn id="38" xr3:uid="{D9F58CAB-A4CB-4B74-A693-2355FEC3213E}" name="19" dataDxfId="224">
      <calculatedColumnFormula array="1">IF(Table2[[#This Row],[8]]="","",Table2[[#This Row],[Weight]:[Weight]]-(Table2[[#This Row],[Weight]:[Weight]]*((_xlfn.XMATCH(Table2[[#This Row],[8]],Table2[[#This Row],[1]:[11]],0))-1)/(COUNTA(Table2[[#This Row],[1]:[11]])-COUNTBLANK(Table2[[#This Row],[1]:[11]])-1)))</calculatedColumnFormula>
    </tableColumn>
    <tableColumn id="39" xr3:uid="{07B65C4A-14CA-4F1E-98A9-D69069BB0461}" name="20" dataDxfId="223">
      <calculatedColumnFormula array="1">IF(Table2[[#This Row],[9]]="","",Table2[[#This Row],[Weight]:[Weight]]-(Table2[[#This Row],[Weight]:[Weight]]*((_xlfn.XMATCH(Table2[[#This Row],[9]],Table2[[#This Row],[1]:[11]],0))-1)/(COUNTA(Table2[[#This Row],[1]:[11]])-COUNTBLANK(Table2[[#This Row],[1]:[11]])-1)))</calculatedColumnFormula>
    </tableColumn>
    <tableColumn id="40" xr3:uid="{26B711F9-525D-4198-9227-5B6D717D32B7}" name="21" dataDxfId="222">
      <calculatedColumnFormula array="1">IF(Table2[[#This Row],[10]]="","",Table2[[#This Row],[Weight]:[Weight]]-(Table2[[#This Row],[Weight]:[Weight]]*((_xlfn.XMATCH(Table2[[#This Row],[10]],Table2[[#This Row],[1]:[11]],0))-1)/(COUNTA(Table2[[#This Row],[1]:[11]])-COUNTBLANK(Table2[[#This Row],[1]:[11]])-1)))</calculatedColumnFormula>
    </tableColumn>
    <tableColumn id="41" xr3:uid="{CA8A542E-B964-4228-B04E-372685C530D5}" name="22" dataDxfId="221">
      <calculatedColumnFormula array="1">IF(Table2[[#This Row],[11]]="","",Table2[[#This Row],[Weight]:[Weight]]-(Table2[[#This Row],[Weight]:[Weight]]*((_xlfn.XMATCH(Table2[[#This Row],[11]],Table2[[#This Row],[1]:[11]],0))-1)/(COUNTA(Table2[[#This Row],[1]:[11]])-COUNTBLANK(Table2[[#This Row],[1]:[11]])-1)))</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E77BB69-7927-40B2-8997-512C878D3574}" name="Table26789" displayName="Table26789" ref="A12:AI37" totalsRowShown="0" headerRowDxfId="220" dataDxfId="218" headerRowBorderDxfId="219" tableBorderDxfId="217" totalsRowBorderDxfId="216">
  <autoFilter ref="A12:AI37" xr:uid="{DBBFD16F-C697-4B03-8565-497D940E477E}"/>
  <tableColumns count="35">
    <tableColumn id="1" xr3:uid="{7C1CC343-B458-4CDE-A33C-61D58B86F0BD}" name="Intem#" dataDxfId="215"/>
    <tableColumn id="2" xr3:uid="{D4DEEED0-C3E6-4092-9123-ADF8924171A0}" name="Business requirements " dataDxfId="214"/>
    <tableColumn id="3" xr3:uid="{F94B26B9-FB67-457E-9E6B-B12E7277E559}" name="Mandatory Returnables - This colunm lists the mandotory evidence to be provided by the vendor in the technical file and numbered to align with each criteria question. " dataDxfId="213"/>
    <tableColumn id="4" xr3:uid="{2CCC4F50-4322-4CCD-81E8-38E5132E8FF9}" name="Vendor Response: Vendor to indicate if, and to what extent they meet the requirement, detail must be provided in the tender submission" dataDxfId="212"/>
    <tableColumn id="5" xr3:uid="{5864B000-E0BA-4684-8DD9-CBCA2742357B}" name="Vendor Evidence: Location of Supporting Document/detailed response in your tender submission (state the file number, section &amp; page number)" dataDxfId="211"/>
    <tableColumn id="6" xr3:uid="{8849470F-F498-47F9-A8DF-9F60AD0EBE98}" name="Priority Description" dataDxfId="210"/>
    <tableColumn id="7" xr3:uid="{17BD2A3E-E983-4695-90D0-DD80C1E1D608}" name="Priority" dataDxfId="209">
      <calculatedColumnFormula array="1">_xlfn.IFS(F13="","",F13="No interest",0,F13="Nice to have",1,F13="Useful",2,F13="Important",3,F13="Very important",4,F13="Critical",5,F13="Show stopper",6)</calculatedColumnFormula>
    </tableColumn>
    <tableColumn id="8" xr3:uid="{B740C533-C60E-43C2-BCDD-B585B77D035A}" name="Weight" dataDxfId="208" dataCellStyle="Percent">
      <calculatedColumnFormula>(G13/$G$11)*$F$11</calculatedColumnFormula>
    </tableColumn>
    <tableColumn id="9" xr3:uid="{B349CEB3-9D22-412C-8AFE-CE0EEF0B4AEC}" name="Selection Options" dataDxfId="207"/>
    <tableColumn id="42" xr3:uid="{F4D7DED1-E920-498B-8998-925665D21BAB}" name="Option Score" dataDxfId="206">
      <calculatedColumnFormula array="1">_xlfn.TEXTJOIN(" "&amp;CHAR(10),,TEXT(SUBSTITUTE(Table26789[[#This Row],[12]:[22]],".",","),"0,00%"))</calculatedColumnFormula>
    </tableColumn>
    <tableColumn id="11" xr3:uid="{0A5245E5-4431-44A0-BB98-2B43F1FF6B73}" name="Evaluators Response (SELECT)" dataDxfId="205"/>
    <tableColumn id="12" xr3:uid="{A4E34D67-9E92-426C-BF28-73BC61F48A2F}" name="Score" dataDxfId="204">
      <calculatedColumnFormula>H13-(H13*((MATCH(Table26789[[#This Row],[Evaluators Response (SELECT)]],Table26789[[#This Row],[1]:[11]],0)-1)/(COUNTA(Table26789[[#This Row],[1]:[11]])-COUNTBLANK(Table26789[[#This Row],[1]:[11]])-1)))</calculatedColumnFormula>
    </tableColumn>
    <tableColumn id="13" xr3:uid="{2355255F-D7E0-4DC4-9410-BEBC071F74C8}" name="Evaluator comments" dataDxfId="203"/>
    <tableColumn id="14" xr3:uid="{2D4D5AAB-95A3-44A4-A340-A6803D3CD544}" name="1" dataDxfId="202">
      <calculatedColumnFormula array="1">IFERROR(INDEX(_xlfn.UNIQUE(TRIM(_xlfn.TEXTSPLIT(Table26789[[#This Row],[Selection Options]:[Selection Options]],";"))),,N$11),"")</calculatedColumnFormula>
    </tableColumn>
    <tableColumn id="15" xr3:uid="{B134517C-4276-4E53-849F-E79290D7CFD2}" name="2" dataDxfId="201">
      <calculatedColumnFormula array="1">IFERROR(INDEX(_xlfn.UNIQUE(TRIM(_xlfn.TEXTSPLIT(Table26789[[#This Row],[Selection Options]:[Selection Options]],";"))),,O$11),"")</calculatedColumnFormula>
    </tableColumn>
    <tableColumn id="16" xr3:uid="{B3B959F8-BE33-4660-8F20-74AB4E60666F}" name="3" dataDxfId="200">
      <calculatedColumnFormula array="1">IFERROR(INDEX(_xlfn.UNIQUE(TRIM(_xlfn.TEXTSPLIT(Table26789[[#This Row],[Selection Options]:[Selection Options]],";"))),,P$11),"")</calculatedColumnFormula>
    </tableColumn>
    <tableColumn id="17" xr3:uid="{798E7B2D-CEA1-479C-A865-F0FD59CCAA2B}" name="4" dataDxfId="199">
      <calculatedColumnFormula array="1">IFERROR(INDEX(_xlfn.UNIQUE(TRIM(_xlfn.TEXTSPLIT(Table26789[[#This Row],[Selection Options]:[Selection Options]],";"))),,Q$11),"")</calculatedColumnFormula>
    </tableColumn>
    <tableColumn id="18" xr3:uid="{D529AEC2-E0D3-4D3A-BB07-A3F4D86D6CDB}" name="5" dataDxfId="198">
      <calculatedColumnFormula array="1">IFERROR(INDEX(_xlfn.UNIQUE(TRIM(_xlfn.TEXTSPLIT(Table26789[[#This Row],[Selection Options]:[Selection Options]],";"))),,R$11),"")</calculatedColumnFormula>
    </tableColumn>
    <tableColumn id="25" xr3:uid="{0F80CD45-69ED-480B-9A19-D367C4793C05}" name="6" dataDxfId="197">
      <calculatedColumnFormula array="1">IFERROR(INDEX(_xlfn.UNIQUE(TRIM(_xlfn.TEXTSPLIT(Table26789[[#This Row],[Selection Options]:[Selection Options]],";"))),,S$11),"")</calculatedColumnFormula>
    </tableColumn>
    <tableColumn id="26" xr3:uid="{93075C39-6F1C-497B-86E6-701D2D0FC801}" name="7" dataDxfId="196">
      <calculatedColumnFormula array="1">IFERROR(INDEX(_xlfn.UNIQUE(TRIM(_xlfn.TEXTSPLIT(Table26789[[#This Row],[Selection Options]:[Selection Options]],";"))),,T$11),"")</calculatedColumnFormula>
    </tableColumn>
    <tableColumn id="27" xr3:uid="{87AD0014-3E18-423A-A154-14B3E7A8CE65}" name="8" dataDxfId="195">
      <calculatedColumnFormula array="1">IFERROR(INDEX(_xlfn.UNIQUE(TRIM(_xlfn.TEXTSPLIT(Table26789[[#This Row],[Selection Options]:[Selection Options]],";"))),,U$11),"")</calculatedColumnFormula>
    </tableColumn>
    <tableColumn id="28" xr3:uid="{7307B94E-5D84-49FC-AF4B-0E267289D78C}" name="9" dataDxfId="194">
      <calculatedColumnFormula array="1">IFERROR(INDEX(_xlfn.UNIQUE(TRIM(_xlfn.TEXTSPLIT(Table26789[[#This Row],[Selection Options]:[Selection Options]],";"))),,V$11),"")</calculatedColumnFormula>
    </tableColumn>
    <tableColumn id="29" xr3:uid="{CA7E0070-02C2-4CF0-9A68-C5489285ADFC}" name="10" dataDxfId="193">
      <calculatedColumnFormula array="1">IFERROR(INDEX(_xlfn.UNIQUE(TRIM(_xlfn.TEXTSPLIT(Table26789[[#This Row],[Selection Options]:[Selection Options]],";"))),,W$11),"")</calculatedColumnFormula>
    </tableColumn>
    <tableColumn id="30" xr3:uid="{CB902B9B-441F-4818-8B1C-3A3FCB05E99E}" name="11" dataDxfId="192">
      <calculatedColumnFormula array="1">IFERROR(INDEX(_xlfn.UNIQUE(TRIM(_xlfn.TEXTSPLIT(Table26789[[#This Row],[Selection Options]:[Selection Options]],";"))),,X$11),"")</calculatedColumnFormula>
    </tableColumn>
    <tableColumn id="31" xr3:uid="{D409CADE-BB6F-4CA7-93B2-99B30AB4BA48}" name="12" dataDxfId="191">
      <calculatedColumnFormula array="1">IF(Table26789[[#This Row],[1]]="","",Table26789[[#This Row],[Weight]:[Weight]]-(Table26789[[#This Row],[Weight]:[Weight]]*((_xlfn.XMATCH(Table26789[[#This Row],[1]],Table26789[[#This Row],[1]:[11]],0))-1)/(COUNTA(Table26789[[#This Row],[1]:[11]])-COUNTBLANK(Table26789[[#This Row],[1]:[11]])-1)))</calculatedColumnFormula>
    </tableColumn>
    <tableColumn id="32" xr3:uid="{AA244B76-BEB8-48C6-B441-D49A907EEC6D}" name="13" dataDxfId="190">
      <calculatedColumnFormula array="1">IF(Table26789[[#This Row],[2]]="","",Table26789[[#This Row],[Weight]:[Weight]]-(Table26789[[#This Row],[Weight]:[Weight]]*((_xlfn.XMATCH(Table26789[[#This Row],[2]],Table26789[[#This Row],[1]:[11]],0))-1)/(COUNTA(Table26789[[#This Row],[1]:[11]])-COUNTBLANK(Table26789[[#This Row],[1]:[11]])-1)))</calculatedColumnFormula>
    </tableColumn>
    <tableColumn id="33" xr3:uid="{982BD114-07B8-4718-ADB6-3B2229936AC4}" name="14" dataDxfId="189">
      <calculatedColumnFormula array="1">IF(Table26789[[#This Row],[3]]="","",Table26789[[#This Row],[Weight]:[Weight]]-(Table26789[[#This Row],[Weight]:[Weight]]*((_xlfn.XMATCH(Table26789[[#This Row],[3]],Table26789[[#This Row],[1]:[11]],0))-1)/(COUNTA(Table26789[[#This Row],[1]:[11]])-COUNTBLANK(Table26789[[#This Row],[1]:[11]])-1)))</calculatedColumnFormula>
    </tableColumn>
    <tableColumn id="34" xr3:uid="{286AEBCB-45BF-42A9-A753-57494D167EAF}" name="15" dataDxfId="188">
      <calculatedColumnFormula array="1">IF(Table26789[[#This Row],[4]]="","",Table26789[[#This Row],[Weight]:[Weight]]-(Table26789[[#This Row],[Weight]:[Weight]]*((_xlfn.XMATCH(Table26789[[#This Row],[4]],Table26789[[#This Row],[1]:[11]],0))-1)/(COUNTA(Table26789[[#This Row],[1]:[11]])-COUNTBLANK(Table26789[[#This Row],[1]:[11]])-1)))</calculatedColumnFormula>
    </tableColumn>
    <tableColumn id="35" xr3:uid="{5C8F1C3B-DC37-41DC-951E-BA256A692198}" name="16" dataDxfId="187">
      <calculatedColumnFormula array="1">IF(Table26789[[#This Row],[5]]="","",Table26789[[#This Row],[Weight]:[Weight]]-(Table26789[[#This Row],[Weight]:[Weight]]*((_xlfn.XMATCH(Table26789[[#This Row],[5]],Table26789[[#This Row],[1]:[11]],0))-1)/(COUNTA(Table26789[[#This Row],[1]:[11]])-COUNTBLANK(Table26789[[#This Row],[1]:[11]])-1)))</calculatedColumnFormula>
    </tableColumn>
    <tableColumn id="36" xr3:uid="{8CE9E21C-E28D-4DF6-B6D7-A2C9E0821DCA}" name="17" dataDxfId="186">
      <calculatedColumnFormula array="1">IF(Table26789[[#This Row],[6]]="","",Table26789[[#This Row],[Weight]:[Weight]]-(Table26789[[#This Row],[Weight]:[Weight]]*((_xlfn.XMATCH(Table26789[[#This Row],[6]],Table26789[[#This Row],[1]:[11]],0))-1)/(COUNTA(Table26789[[#This Row],[1]:[11]])-COUNTBLANK(Table26789[[#This Row],[1]:[11]])-1)))</calculatedColumnFormula>
    </tableColumn>
    <tableColumn id="37" xr3:uid="{CC9943CA-2036-4F41-85FA-61857FD551FE}" name="18" dataDxfId="185">
      <calculatedColumnFormula array="1">IF(Table26789[[#This Row],[7]]="","",Table26789[[#This Row],[Weight]:[Weight]]-(Table26789[[#This Row],[Weight]:[Weight]]*((_xlfn.XMATCH(Table26789[[#This Row],[7]],Table26789[[#This Row],[1]:[11]],0))-1)/(COUNTA(Table26789[[#This Row],[1]:[11]])-COUNTBLANK(Table26789[[#This Row],[1]:[11]])-1)))</calculatedColumnFormula>
    </tableColumn>
    <tableColumn id="38" xr3:uid="{3490DA89-6194-49B6-ABDB-EDADE7067158}" name="19" dataDxfId="184">
      <calculatedColumnFormula array="1">IF(Table26789[[#This Row],[8]]="","",Table26789[[#This Row],[Weight]:[Weight]]-(Table26789[[#This Row],[Weight]:[Weight]]*((_xlfn.XMATCH(Table26789[[#This Row],[8]],Table26789[[#This Row],[1]:[11]],0))-1)/(COUNTA(Table26789[[#This Row],[1]:[11]])-COUNTBLANK(Table26789[[#This Row],[1]:[11]])-1)))</calculatedColumnFormula>
    </tableColumn>
    <tableColumn id="39" xr3:uid="{8C3CAE23-19C5-4945-9D49-B78A6D67093F}" name="20" dataDxfId="183">
      <calculatedColumnFormula array="1">IF(Table26789[[#This Row],[9]]="","",Table26789[[#This Row],[Weight]:[Weight]]-(Table26789[[#This Row],[Weight]:[Weight]]*((_xlfn.XMATCH(Table26789[[#This Row],[9]],Table26789[[#This Row],[1]:[11]],0))-1)/(COUNTA(Table26789[[#This Row],[1]:[11]])-COUNTBLANK(Table26789[[#This Row],[1]:[11]])-1)))</calculatedColumnFormula>
    </tableColumn>
    <tableColumn id="40" xr3:uid="{3CFA486A-6D6D-4C21-B6FD-1F3EFCD46696}" name="21" dataDxfId="182">
      <calculatedColumnFormula array="1">IF(Table26789[[#This Row],[10]]="","",Table26789[[#This Row],[Weight]:[Weight]]-(Table26789[[#This Row],[Weight]:[Weight]]*((_xlfn.XMATCH(Table26789[[#This Row],[10]],Table26789[[#This Row],[1]:[11]],0))-1)/(COUNTA(Table26789[[#This Row],[1]:[11]])-COUNTBLANK(Table26789[[#This Row],[1]:[11]])-1)))</calculatedColumnFormula>
    </tableColumn>
    <tableColumn id="41" xr3:uid="{3194751E-E07C-44F8-A299-5AB7D1955B16}" name="22" dataDxfId="181">
      <calculatedColumnFormula array="1">IF(Table26789[[#This Row],[11]]="","",Table26789[[#This Row],[Weight]:[Weight]]-(Table26789[[#This Row],[Weight]:[Weight]]*((_xlfn.XMATCH(Table26789[[#This Row],[11]],Table26789[[#This Row],[1]:[11]],0))-1)/(COUNTA(Table26789[[#This Row],[1]:[11]])-COUNTBLANK(Table26789[[#This Row],[1]:[11]])-1)))</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9E318D1-5FC0-49A7-9D3A-16BB12CE813D}" name="Table2511" displayName="Table2511" ref="A13:AG64" totalsRowShown="0" headerRowDxfId="180" dataDxfId="178" headerRowBorderDxfId="179" tableBorderDxfId="177" totalsRowBorderDxfId="176">
  <autoFilter ref="A13:AG64" xr:uid="{DBBFD16F-C697-4B03-8565-497D940E477E}"/>
  <tableColumns count="33">
    <tableColumn id="1" xr3:uid="{FCF8AB7B-61A6-4D02-97E2-93F3232E3931}" name="Item#" dataDxfId="175"/>
    <tableColumn id="2" xr3:uid="{45270984-AB8E-4928-82E0-29D8EAAC1DB0}" name="Business requirements " dataDxfId="174"/>
    <tableColumn id="3" xr3:uid="{B5D9B6C1-AD03-43C6-B35F-08DA00888BB3}" name="Demonstration Brief - Explain to the Vendor what must be included in their presentation" dataDxfId="173"/>
    <tableColumn id="6" xr3:uid="{6113EFCB-32DF-408B-9FD0-AC195C0F8294}" name="Priority Description" dataDxfId="172"/>
    <tableColumn id="7" xr3:uid="{C3D2F71B-447F-46BB-845A-BAC17E1AB41C}" name="Priority" dataDxfId="171">
      <calculatedColumnFormula array="1">_xlfn.IFS(D14="","",D14="No interest",0,D14="Nice to have",1,D14="Useful",2,D14="Important",3,D14="Very important",4,D14="Critical",5,D14="Show stopper",6)</calculatedColumnFormula>
    </tableColumn>
    <tableColumn id="8" xr3:uid="{8D64A09F-FF43-43A8-9B9A-2989C30522FF}" name="Weight" dataDxfId="170" dataCellStyle="Percent">
      <calculatedColumnFormula>(E14/$E$12)*$D$12</calculatedColumnFormula>
    </tableColumn>
    <tableColumn id="9" xr3:uid="{C07410C0-3676-46E9-B9A1-6F482F00786F}" name="Selection Option" dataDxfId="169"/>
    <tableColumn id="42" xr3:uid="{430206EE-23FA-4748-BF01-692B2920FAAD}" name="Option Score" dataDxfId="168">
      <calculatedColumnFormula array="1">_xlfn.TEXTJOIN(" "&amp;CHAR(10),,TEXT(SUBSTITUTE(Table2511[[#This Row],[12]:[22]],".",","),"0,00%"))</calculatedColumnFormula>
    </tableColumn>
    <tableColumn id="11" xr3:uid="{50280153-102C-43DE-A7FD-402425CD8D93}" name="Evaluators Response (SELECT)" dataDxfId="167"/>
    <tableColumn id="12" xr3:uid="{F3289460-3D59-4A0E-A83D-67D41685B340}" name="Score" dataDxfId="166">
      <calculatedColumnFormula>F14-(F14*((MATCH(Table2511[[#This Row],[Evaluators Response (SELECT)]],Table2511[[#This Row],[1]:[11]],0)-1)/(COUNTA(Table2511[[#This Row],[1]:[11]])-COUNTBLANK(Table2511[[#This Row],[1]:[11]])-1)))</calculatedColumnFormula>
    </tableColumn>
    <tableColumn id="13" xr3:uid="{A6BC32B0-43CB-4775-802F-67AEE0FCC984}" name="Evaluator comments" dataDxfId="165"/>
    <tableColumn id="14" xr3:uid="{04A09911-78D8-487B-9B1D-702584275BF2}" name="1" dataDxfId="164">
      <calculatedColumnFormula array="1">IFERROR(INDEX(_xlfn.UNIQUE(TRIM(_xlfn.TEXTSPLIT(Table2511[[#This Row],[Selection Option]:[Selection Option]],";"))),,L$12),"")</calculatedColumnFormula>
    </tableColumn>
    <tableColumn id="15" xr3:uid="{163BC790-27B6-4229-9950-C411AC1204FA}" name="2" dataDxfId="163">
      <calculatedColumnFormula array="1">IFERROR(INDEX(_xlfn.UNIQUE(TRIM(_xlfn.TEXTSPLIT(Table2511[[#This Row],[Selection Option]:[Selection Option]],";"))),,M$12),"")</calculatedColumnFormula>
    </tableColumn>
    <tableColumn id="16" xr3:uid="{86AE9B25-C842-4D7F-8EE2-B692B6A0DF79}" name="3" dataDxfId="162">
      <calculatedColumnFormula array="1">IFERROR(INDEX(_xlfn.UNIQUE(TRIM(_xlfn.TEXTSPLIT(Table2511[[#This Row],[Selection Option]:[Selection Option]],";"))),,N$12),"")</calculatedColumnFormula>
    </tableColumn>
    <tableColumn id="17" xr3:uid="{5EEA606F-0CA1-4E23-9396-628ABD4AE2D7}" name="4" dataDxfId="161">
      <calculatedColumnFormula array="1">IFERROR(INDEX(_xlfn.UNIQUE(TRIM(_xlfn.TEXTSPLIT(Table2511[[#This Row],[Selection Option]:[Selection Option]],";"))),,O$12),"")</calculatedColumnFormula>
    </tableColumn>
    <tableColumn id="18" xr3:uid="{297FFC74-CE7E-403B-B25A-EBF669535FE7}" name="5" dataDxfId="160">
      <calculatedColumnFormula array="1">IFERROR(INDEX(_xlfn.UNIQUE(TRIM(_xlfn.TEXTSPLIT(Table2511[[#This Row],[Selection Option]:[Selection Option]],";"))),,P$12),"")</calculatedColumnFormula>
    </tableColumn>
    <tableColumn id="25" xr3:uid="{344C02B8-8AE5-4E9F-9D77-7E6CB0926BB9}" name="6" dataDxfId="159">
      <calculatedColumnFormula array="1">IFERROR(INDEX(_xlfn.UNIQUE(TRIM(_xlfn.TEXTSPLIT(Table2511[[#This Row],[Selection Option]:[Selection Option]],";"))),,Q$12),"")</calculatedColumnFormula>
    </tableColumn>
    <tableColumn id="26" xr3:uid="{444FE2D1-6E79-45EB-9061-22A3D896429E}" name="7" dataDxfId="158">
      <calculatedColumnFormula array="1">IFERROR(INDEX(_xlfn.UNIQUE(TRIM(_xlfn.TEXTSPLIT(Table2511[[#This Row],[Selection Option]:[Selection Option]],";"))),,R$12),"")</calculatedColumnFormula>
    </tableColumn>
    <tableColumn id="27" xr3:uid="{007051C6-B92F-4317-BB70-FD75355554B7}" name="8" dataDxfId="157">
      <calculatedColumnFormula array="1">IFERROR(INDEX(_xlfn.UNIQUE(TRIM(_xlfn.TEXTSPLIT(Table2511[[#This Row],[Selection Option]:[Selection Option]],";"))),,S$12),"")</calculatedColumnFormula>
    </tableColumn>
    <tableColumn id="28" xr3:uid="{0970D8EA-FC2E-4979-9E79-E2B53CE91100}" name="9" dataDxfId="156">
      <calculatedColumnFormula array="1">IFERROR(INDEX(_xlfn.UNIQUE(TRIM(_xlfn.TEXTSPLIT(Table2511[[#This Row],[Selection Option]:[Selection Option]],";"))),,T$12),"")</calculatedColumnFormula>
    </tableColumn>
    <tableColumn id="29" xr3:uid="{9BEC0310-3EF4-4E02-949F-5A5070BA3D34}" name="10" dataDxfId="155">
      <calculatedColumnFormula array="1">IFERROR(INDEX(_xlfn.UNIQUE(TRIM(_xlfn.TEXTSPLIT(Table2511[[#This Row],[Selection Option]:[Selection Option]],";"))),,U$12),"")</calculatedColumnFormula>
    </tableColumn>
    <tableColumn id="30" xr3:uid="{13E59011-F10B-4A86-A210-1B9A56DCDD7E}" name="11" dataDxfId="154">
      <calculatedColumnFormula array="1">IFERROR(INDEX(_xlfn.UNIQUE(TRIM(_xlfn.TEXTSPLIT(Table2511[[#This Row],[Selection Option]:[Selection Option]],";"))),,V$12),"")</calculatedColumnFormula>
    </tableColumn>
    <tableColumn id="31" xr3:uid="{8AD266C0-A9DF-4E7A-A486-B09A8F2F3566}" name="12" dataDxfId="153">
      <calculatedColumnFormula array="1">IF(Table2511[[#This Row],[1]]="","",Table2511[[#This Row],[Weight]:[Weight]]-(Table2511[[#This Row],[Weight]:[Weight]]*((_xlfn.XMATCH(Table2511[[#This Row],[1]],Table2511[[#This Row],[1]:[11]],0))-1)/(COUNTA(Table2511[[#This Row],[1]:[11]])-COUNTBLANK(Table2511[[#This Row],[1]:[11]])-1)))</calculatedColumnFormula>
    </tableColumn>
    <tableColumn id="32" xr3:uid="{0ED950BF-8387-4D2A-BE64-D90B693A1C5F}" name="13" dataDxfId="152">
      <calculatedColumnFormula array="1">IF(Table2511[[#This Row],[2]]="","",Table2511[[#This Row],[Weight]:[Weight]]-(Table2511[[#This Row],[Weight]:[Weight]]*((_xlfn.XMATCH(Table2511[[#This Row],[2]],Table2511[[#This Row],[1]:[11]],0))-1)/(COUNTA(Table2511[[#This Row],[1]:[11]])-COUNTBLANK(Table2511[[#This Row],[1]:[11]])-1)))</calculatedColumnFormula>
    </tableColumn>
    <tableColumn id="33" xr3:uid="{1407F54B-3E39-463A-ADD6-74535584CDA3}" name="14" dataDxfId="151">
      <calculatedColumnFormula array="1">IF(Table2511[[#This Row],[3]]="","",Table2511[[#This Row],[Weight]:[Weight]]-(Table2511[[#This Row],[Weight]:[Weight]]*((_xlfn.XMATCH(Table2511[[#This Row],[3]],Table2511[[#This Row],[1]:[11]],0))-1)/(COUNTA(Table2511[[#This Row],[1]:[11]])-COUNTBLANK(Table2511[[#This Row],[1]:[11]])-1)))</calculatedColumnFormula>
    </tableColumn>
    <tableColumn id="34" xr3:uid="{65BF6158-73BA-4BBA-9F1D-4ACEBA66798D}" name="15" dataDxfId="150">
      <calculatedColumnFormula array="1">IF(Table2511[[#This Row],[4]]="","",Table2511[[#This Row],[Weight]:[Weight]]-(Table2511[[#This Row],[Weight]:[Weight]]*((_xlfn.XMATCH(Table2511[[#This Row],[4]],Table2511[[#This Row],[1]:[11]],0))-1)/(COUNTA(Table2511[[#This Row],[1]:[11]])-COUNTBLANK(Table2511[[#This Row],[1]:[11]])-1)))</calculatedColumnFormula>
    </tableColumn>
    <tableColumn id="35" xr3:uid="{22BA1417-8AAC-4503-82C6-A51AE710B35B}" name="16" dataDxfId="149">
      <calculatedColumnFormula array="1">IF(Table2511[[#This Row],[5]]="","",Table2511[[#This Row],[Weight]:[Weight]]-(Table2511[[#This Row],[Weight]:[Weight]]*((_xlfn.XMATCH(Table2511[[#This Row],[5]],Table2511[[#This Row],[1]:[11]],0))-1)/(COUNTA(Table2511[[#This Row],[1]:[11]])-COUNTBLANK(Table2511[[#This Row],[1]:[11]])-1)))</calculatedColumnFormula>
    </tableColumn>
    <tableColumn id="36" xr3:uid="{5448CD7D-9D43-4FF3-AE87-415EA275F6E6}" name="17" dataDxfId="148">
      <calculatedColumnFormula array="1">IF(Table2511[[#This Row],[6]]="","",Table2511[[#This Row],[Weight]:[Weight]]-(Table2511[[#This Row],[Weight]:[Weight]]*((_xlfn.XMATCH(Table2511[[#This Row],[6]],Table2511[[#This Row],[1]:[11]],0))-1)/(COUNTA(Table2511[[#This Row],[1]:[11]])-COUNTBLANK(Table2511[[#This Row],[1]:[11]])-1)))</calculatedColumnFormula>
    </tableColumn>
    <tableColumn id="37" xr3:uid="{149D9C70-4B5F-4835-B7DD-71EFB5462429}" name="18" dataDxfId="147">
      <calculatedColumnFormula array="1">IF(Table2511[[#This Row],[7]]="","",Table2511[[#This Row],[Weight]:[Weight]]-(Table2511[[#This Row],[Weight]:[Weight]]*((_xlfn.XMATCH(Table2511[[#This Row],[7]],Table2511[[#This Row],[1]:[11]],0))-1)/(COUNTA(Table2511[[#This Row],[1]:[11]])-COUNTBLANK(Table2511[[#This Row],[1]:[11]])-1)))</calculatedColumnFormula>
    </tableColumn>
    <tableColumn id="38" xr3:uid="{703B4C3E-8286-4CD7-9893-8D78E364307F}" name="19" dataDxfId="146">
      <calculatedColumnFormula array="1">IF(Table2511[[#This Row],[8]]="","",Table2511[[#This Row],[Weight]:[Weight]]-(Table2511[[#This Row],[Weight]:[Weight]]*((_xlfn.XMATCH(Table2511[[#This Row],[8]],Table2511[[#This Row],[1]:[11]],0))-1)/(COUNTA(Table2511[[#This Row],[1]:[11]])-COUNTBLANK(Table2511[[#This Row],[1]:[11]])-1)))</calculatedColumnFormula>
    </tableColumn>
    <tableColumn id="39" xr3:uid="{D7267754-630D-4CFF-A286-443E1732E2F1}" name="20" dataDxfId="145">
      <calculatedColumnFormula array="1">IF(Table2511[[#This Row],[9]]="","",Table2511[[#This Row],[Weight]:[Weight]]-(Table2511[[#This Row],[Weight]:[Weight]]*((_xlfn.XMATCH(Table2511[[#This Row],[9]],Table2511[[#This Row],[1]:[11]],0))-1)/(COUNTA(Table2511[[#This Row],[1]:[11]])-COUNTBLANK(Table2511[[#This Row],[1]:[11]])-1)))</calculatedColumnFormula>
    </tableColumn>
    <tableColumn id="40" xr3:uid="{922C921E-020D-4F59-9D94-A8342D155C4E}" name="21" dataDxfId="144">
      <calculatedColumnFormula array="1">IF(Table2511[[#This Row],[10]]="","",Table2511[[#This Row],[Weight]:[Weight]]-(Table2511[[#This Row],[Weight]:[Weight]]*((_xlfn.XMATCH(Table2511[[#This Row],[10]],Table2511[[#This Row],[1]:[11]],0))-1)/(COUNTA(Table2511[[#This Row],[1]:[11]])-COUNTBLANK(Table2511[[#This Row],[1]:[11]])-1)))</calculatedColumnFormula>
    </tableColumn>
    <tableColumn id="41" xr3:uid="{E1717F75-0BDD-4718-8E0E-FD94CC16F8D3}" name="22" dataDxfId="143">
      <calculatedColumnFormula array="1">IF(Table2511[[#This Row],[11]]="","",Table2511[[#This Row],[Weight]:[Weight]]-(Table2511[[#This Row],[Weight]:[Weight]]*((_xlfn.XMATCH(Table2511[[#This Row],[11]],Table2511[[#This Row],[1]:[11]],0))-1)/(COUNTA(Table2511[[#This Row],[1]:[11]])-COUNTBLANK(Table2511[[#This Row],[1]:[11]])-1)))</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CCAAB9-39E4-4ABD-91DC-D4B8F1DD2BBB}" name="Table267" displayName="Table267" ref="A12:AI14" totalsRowShown="0" headerRowDxfId="142" dataDxfId="140" headerRowBorderDxfId="141" tableBorderDxfId="139" totalsRowBorderDxfId="138">
  <autoFilter ref="A12:AI14" xr:uid="{DBBFD16F-C697-4B03-8565-497D940E477E}"/>
  <tableColumns count="35">
    <tableColumn id="1" xr3:uid="{626DADC5-9308-4B34-81FA-7DC4497C967A}" name="Item#" dataDxfId="137"/>
    <tableColumn id="2" xr3:uid="{52DDA21C-71CF-4382-9E7A-A37BBCBE9F74}" name="Business requirements " dataDxfId="136"/>
    <tableColumn id="3" xr3:uid="{52B9A2D4-34AC-4E23-ABFE-372DB45961CC}" name="Mandatory Returnables - This column lists the mandatory evidence to be provided by the vendor in the technical file and numbered to align with each criteria question. " dataDxfId="135"/>
    <tableColumn id="4" xr3:uid="{BFE1C2C4-2194-4A38-989A-AA44E427A317}" name="Vendor Response: Vendor to indicate if, and to what extent they meet the requirement, detail must be provided in the tender submission" dataDxfId="134"/>
    <tableColumn id="5" xr3:uid="{B1ADE24F-BF26-4FB3-BCF9-99BD954CB7CD}" name="Vendor Evidence: Location of Supporting Document/detailed response in your tender submission (state the file number, section &amp; page number)" dataDxfId="133"/>
    <tableColumn id="6" xr3:uid="{E3494C08-A3EF-4B75-8CF3-708B2977EE37}" name="Priority Description" dataDxfId="132"/>
    <tableColumn id="7" xr3:uid="{4169C4CE-137A-4F31-AC6E-3A41E7531156}" name="Priority" dataDxfId="131">
      <calculatedColumnFormula array="1">_xlfn.IFS(F13="","",F13="No interest",0,F13="Nice to have",1,F13="Useful",2,F13="Important",3,F13="Very important",4,F13="Critical",5,F13="Show stopper",6)</calculatedColumnFormula>
    </tableColumn>
    <tableColumn id="8" xr3:uid="{1D7E6FAD-9AD2-4682-A17C-23A0B4E2331F}" name="Weight" dataDxfId="130" dataCellStyle="Percent">
      <calculatedColumnFormula>(G13/$G$11)*$F$11</calculatedColumnFormula>
    </tableColumn>
    <tableColumn id="9" xr3:uid="{2DADC0ED-3CEF-4DD3-8F89-495DC11B821F}" name="Selection Options" dataDxfId="129"/>
    <tableColumn id="42" xr3:uid="{F4A11A62-1C58-45D0-83B6-2F4E4FB1D177}" name="Option Score" dataDxfId="128">
      <calculatedColumnFormula array="1">_xlfn.TEXTJOIN(" "&amp;CHAR(10),,TEXT(SUBSTITUTE(Table267[[#This Row],[12]:[22]],".",","),"0,00%"))</calculatedColumnFormula>
    </tableColumn>
    <tableColumn id="11" xr3:uid="{FCCDB09F-1043-45A1-84E2-756728D641AA}" name="Evaluators Response (SELECT)" dataDxfId="127"/>
    <tableColumn id="12" xr3:uid="{471013F0-D7E1-4DF5-97CE-4E8B8358672E}" name="Score" dataDxfId="126">
      <calculatedColumnFormula>H13-(H13*((MATCH(Table267[[#This Row],[Evaluators Response (SELECT)]],Table267[[#This Row],[1]:[11]],0)-1)/(COUNTA(Table267[[#This Row],[1]:[11]])-COUNTBLANK(Table267[[#This Row],[1]:[11]])-1)))</calculatedColumnFormula>
    </tableColumn>
    <tableColumn id="13" xr3:uid="{5A968D49-17F0-49A5-9818-B7B3C6863CEE}" name="Evaluator comments" dataDxfId="125"/>
    <tableColumn id="14" xr3:uid="{7EE75E08-02B6-450F-8E80-73CB1FB289A8}" name="1" dataDxfId="124">
      <calculatedColumnFormula array="1">IFERROR(INDEX(_xlfn.UNIQUE(TRIM(_xlfn.TEXTSPLIT(Table267[[#This Row],[Selection Options]:[Selection Options]],","))),,N$11),"")</calculatedColumnFormula>
    </tableColumn>
    <tableColumn id="15" xr3:uid="{3E8A7F19-1466-4F4E-B9F5-E2F2649D699C}" name="2" dataDxfId="123"/>
    <tableColumn id="16" xr3:uid="{5331FAE8-A88E-46C5-A764-C755717B9BE8}" name="3" dataDxfId="122"/>
    <tableColumn id="17" xr3:uid="{0C64821B-FEA4-4E22-8C83-77A5595D372D}" name="4" dataDxfId="121"/>
    <tableColumn id="18" xr3:uid="{47BA35E5-178B-4DB1-9795-145A13E01B7F}" name="5" dataDxfId="120"/>
    <tableColumn id="25" xr3:uid="{1F84E264-4681-4DCE-9E64-923097F0FEEF}" name="6" dataDxfId="119"/>
    <tableColumn id="26" xr3:uid="{0C303E40-C294-4806-80EC-A3AFB855266B}" name="7" dataDxfId="118"/>
    <tableColumn id="27" xr3:uid="{715EFE5E-F0C2-40D3-9703-0B96334416C2}" name="8" dataDxfId="117"/>
    <tableColumn id="28" xr3:uid="{A4E3A8DC-D7E6-456B-B4EA-00B711F6A96F}" name="9" dataDxfId="116"/>
    <tableColumn id="29" xr3:uid="{EF17BCE4-1E3C-439C-A52F-6558B6886E0B}" name="10" dataDxfId="115"/>
    <tableColumn id="30" xr3:uid="{2300B05E-DAD5-44DF-8A39-497C877F8165}" name="11" dataDxfId="114"/>
    <tableColumn id="31" xr3:uid="{C520AEA7-1152-413F-BB0E-271F4B313B3D}" name="12" dataDxfId="113">
      <calculatedColumnFormula array="1">IF(Table267[[#This Row],[1]]="","",Table267[[#This Row],[Weight]:[Weight]]-(Table267[[#This Row],[Weight]:[Weight]]*((_xlfn.XMATCH(Table267[[#This Row],[1]],Table267[[#This Row],[1]:[11]],0))-1)/(COUNTA(Table267[[#This Row],[1]:[11]])-COUNTBLANK(Table267[[#This Row],[1]:[11]])-1)))</calculatedColumnFormula>
    </tableColumn>
    <tableColumn id="32" xr3:uid="{7E940F25-FAD0-41B2-A69D-3C5A6331E384}" name="13" dataDxfId="112">
      <calculatedColumnFormula array="1">IF(Table267[[#This Row],[2]]="","",Table267[[#This Row],[Weight]:[Weight]]-(Table267[[#This Row],[Weight]:[Weight]]*((_xlfn.XMATCH(Table267[[#This Row],[2]],Table267[[#This Row],[1]:[11]],0))-1)/(COUNTA(Table267[[#This Row],[1]:[11]])-COUNTBLANK(Table267[[#This Row],[1]:[11]])-1)))</calculatedColumnFormula>
    </tableColumn>
    <tableColumn id="33" xr3:uid="{0DB0F16F-AD67-4994-BC27-78209FE54B26}" name="14" dataDxfId="111">
      <calculatedColumnFormula array="1">IF(Table267[[#This Row],[3]]="","",Table267[[#This Row],[Weight]:[Weight]]-(Table267[[#This Row],[Weight]:[Weight]]*((_xlfn.XMATCH(Table267[[#This Row],[3]],Table267[[#This Row],[1]:[11]],0))-1)/(COUNTA(Table267[[#This Row],[1]:[11]])-COUNTBLANK(Table267[[#This Row],[1]:[11]])-1)))</calculatedColumnFormula>
    </tableColumn>
    <tableColumn id="34" xr3:uid="{CC8DC8FA-258C-4A66-B4F5-BE2E43CC791F}" name="15" dataDxfId="110">
      <calculatedColumnFormula array="1">IF(Table267[[#This Row],[4]]="","",Table267[[#This Row],[Weight]:[Weight]]-(Table267[[#This Row],[Weight]:[Weight]]*((_xlfn.XMATCH(Table267[[#This Row],[4]],Table267[[#This Row],[1]:[11]],0))-1)/(COUNTA(Table267[[#This Row],[1]:[11]])-COUNTBLANK(Table267[[#This Row],[1]:[11]])-1)))</calculatedColumnFormula>
    </tableColumn>
    <tableColumn id="35" xr3:uid="{AD00700D-3EC7-4B37-A4C2-4ED68CD720E7}" name="16" dataDxfId="109">
      <calculatedColumnFormula array="1">IF(Table267[[#This Row],[5]]="","",Table267[[#This Row],[Weight]:[Weight]]-(Table267[[#This Row],[Weight]:[Weight]]*((_xlfn.XMATCH(Table267[[#This Row],[5]],Table267[[#This Row],[1]:[11]],0))-1)/(COUNTA(Table267[[#This Row],[1]:[11]])-COUNTBLANK(Table267[[#This Row],[1]:[11]])-1)))</calculatedColumnFormula>
    </tableColumn>
    <tableColumn id="36" xr3:uid="{D8C83F15-CC9F-4A88-B3A9-DAEC08481F62}" name="17" dataDxfId="108">
      <calculatedColumnFormula array="1">IF(Table267[[#This Row],[6]]="","",Table267[[#This Row],[Weight]:[Weight]]-(Table267[[#This Row],[Weight]:[Weight]]*((_xlfn.XMATCH(Table267[[#This Row],[6]],Table267[[#This Row],[1]:[11]],0))-1)/(COUNTA(Table267[[#This Row],[1]:[11]])-COUNTBLANK(Table267[[#This Row],[1]:[11]])-1)))</calculatedColumnFormula>
    </tableColumn>
    <tableColumn id="37" xr3:uid="{972BF651-3AE1-497D-81CB-83999CA24CC5}" name="18" dataDxfId="107">
      <calculatedColumnFormula array="1">IF(Table267[[#This Row],[7]]="","",Table267[[#This Row],[Weight]:[Weight]]-(Table267[[#This Row],[Weight]:[Weight]]*((_xlfn.XMATCH(Table267[[#This Row],[7]],Table267[[#This Row],[1]:[11]],0))-1)/(COUNTA(Table267[[#This Row],[1]:[11]])-COUNTBLANK(Table267[[#This Row],[1]:[11]])-1)))</calculatedColumnFormula>
    </tableColumn>
    <tableColumn id="38" xr3:uid="{5BBFF2B2-4550-46C0-AD65-50E97910E203}" name="19" dataDxfId="106">
      <calculatedColumnFormula array="1">IF(Table267[[#This Row],[8]]="","",Table267[[#This Row],[Weight]:[Weight]]-(Table267[[#This Row],[Weight]:[Weight]]*((_xlfn.XMATCH(Table267[[#This Row],[8]],Table267[[#This Row],[1]:[11]],0))-1)/(COUNTA(Table267[[#This Row],[1]:[11]])-COUNTBLANK(Table267[[#This Row],[1]:[11]])-1)))</calculatedColumnFormula>
    </tableColumn>
    <tableColumn id="39" xr3:uid="{CF7994A4-11EF-41B2-8672-C2D2D7822529}" name="20" dataDxfId="105">
      <calculatedColumnFormula array="1">IF(Table267[[#This Row],[9]]="","",Table267[[#This Row],[Weight]:[Weight]]-(Table267[[#This Row],[Weight]:[Weight]]*((_xlfn.XMATCH(Table267[[#This Row],[9]],Table267[[#This Row],[1]:[11]],0))-1)/(COUNTA(Table267[[#This Row],[1]:[11]])-COUNTBLANK(Table267[[#This Row],[1]:[11]])-1)))</calculatedColumnFormula>
    </tableColumn>
    <tableColumn id="40" xr3:uid="{CA58C103-B2D1-40E8-BE54-9A8C49BCAD9D}" name="21" dataDxfId="104">
      <calculatedColumnFormula array="1">IF(Table267[[#This Row],[10]]="","",Table267[[#This Row],[Weight]:[Weight]]-(Table267[[#This Row],[Weight]:[Weight]]*((_xlfn.XMATCH(Table267[[#This Row],[10]],Table267[[#This Row],[1]:[11]],0))-1)/(COUNTA(Table267[[#This Row],[1]:[11]])-COUNTBLANK(Table267[[#This Row],[1]:[11]])-1)))</calculatedColumnFormula>
    </tableColumn>
    <tableColumn id="41" xr3:uid="{8B636D8D-AC30-4F91-ABF4-84C534FC0CD7}" name="22" dataDxfId="103">
      <calculatedColumnFormula array="1">IF(Table267[[#This Row],[11]]="","",Table267[[#This Row],[Weight]:[Weight]]-(Table267[[#This Row],[Weight]:[Weight]]*((_xlfn.XMATCH(Table267[[#This Row],[11]],Table267[[#This Row],[1]:[11]],0))-1)/(COUNTA(Table267[[#This Row],[1]:[11]])-COUNTBLANK(Table267[[#This Row],[1]:[11]])-1)))</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FCD147-9256-47C2-AFBA-CA919E891508}" name="Table1" displayName="Table1" ref="B9:G13" totalsRowShown="0" headerRowDxfId="102" tableBorderDxfId="101">
  <autoFilter ref="B9:G13" xr:uid="{B33F1B45-8BCF-49AE-ACC6-0A86E9EBAC7D}"/>
  <tableColumns count="6">
    <tableColumn id="1" xr3:uid="{5F994A4F-7BB6-4AC6-9D7E-88226C1FB448}" name="GateKeeper Requirements" dataDxfId="100"/>
    <tableColumn id="2" xr3:uid="{D6B950A0-B7B1-43EF-A66C-3FF6E74C4BFF}" name="Mandatory Returnables - Evidence below to be provided in the technical file and numbered to align with each criteria question. " dataDxfId="99"/>
    <tableColumn id="3" xr3:uid="{EE14C81F-C838-4A8D-8884-706D8C792CAB}" name="Vendor Response: Vendor to provide answer the questions below and provide detail in their tender submission" dataDxfId="98"/>
    <tableColumn id="4" xr3:uid="{F87BA367-DAAD-4E72-8138-F84C6FC020B1}" name="Vendor Evidence: Location of Supporting Document/detailed response in your tender submission (state the file number, section &amp; page number)" dataDxfId="97"/>
    <tableColumn id="5" xr3:uid="{449E7F49-ED63-49FE-B12B-CE1934F56529}" name="Scoring" dataDxfId="96"/>
    <tableColumn id="6" xr3:uid="{1FAA8E31-BBAA-4249-A2E8-4CFDF660EE81}" name="Evaluator comments" dataDxfId="9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708D4C-3934-4DC1-80BA-402235834637}" name="Table25" displayName="Table25" ref="A12:AI31" totalsRowShown="0" headerRowDxfId="94" dataDxfId="92" headerRowBorderDxfId="93" tableBorderDxfId="91" totalsRowBorderDxfId="90">
  <autoFilter ref="A12:AI31" xr:uid="{DBBFD16F-C697-4B03-8565-497D940E477E}"/>
  <tableColumns count="35">
    <tableColumn id="1" xr3:uid="{9029F02E-EE26-4D13-94E8-7A59B4E82510}" name="Intem#" dataDxfId="89"/>
    <tableColumn id="2" xr3:uid="{7180FD4E-B919-423B-92C8-D2C270B07FBF}" name="Business requirements " dataDxfId="88"/>
    <tableColumn id="3" xr3:uid="{8267DB3F-EAFF-4ABA-BED0-BCCE2C9022CF}" name="Mandatory Returnables - This colunm lists the mandotory evidence to be provided by the vendor in the technical file and numbered to align with each criteria question. " dataDxfId="87"/>
    <tableColumn id="4" xr3:uid="{8451CBF0-7EE7-4A63-BBA3-F9FCBDF48423}" name="Vendor Response: Vendor to indicate if, and to what extent they meet the requirement, detail must be provided in the tender submission" dataDxfId="86"/>
    <tableColumn id="5" xr3:uid="{037E4469-8CD2-4DF0-AABA-4258131315A1}" name="Vendor Evidence: Location of Supporting Document/detailed response in your tender submission (state the file number, section &amp; page number)" dataDxfId="85"/>
    <tableColumn id="6" xr3:uid="{F731C825-1BA2-49CA-AC35-E00F8760F6C9}" name="Priority Description" dataDxfId="84"/>
    <tableColumn id="7" xr3:uid="{C30E8696-EE66-4EB4-BA9F-BDD62E35522C}" name="Priority" dataDxfId="83">
      <calculatedColumnFormula array="1">_xlfn.IFS(F13="","",F13="No interest",0,F13="Nice to have",1,F13="Useful",2,F13="Important",3,F13="Very important",4,F13="Critical",5,F13="Show stopper",6)</calculatedColumnFormula>
    </tableColumn>
    <tableColumn id="8" xr3:uid="{83654EB7-53BA-46B7-AC77-2D3CC4A1B96D}" name="Weight" dataDxfId="82" dataCellStyle="Percent">
      <calculatedColumnFormula>(G13/$G$11)*$F$11</calculatedColumnFormula>
    </tableColumn>
    <tableColumn id="9" xr3:uid="{C0A831E1-3E0E-49D4-A729-4CB222A8D2F5}" name="Selection Option" dataDxfId="81"/>
    <tableColumn id="42" xr3:uid="{8854D2D0-8BE4-4D38-9102-7284BC7408E7}" name="Option Score" dataDxfId="80">
      <calculatedColumnFormula array="1">_xlfn.TEXTJOIN(" "&amp;CHAR(10),,TEXT(SUBSTITUTE(Table25[[#This Row],[12]:[22]],".",","),"0,00%"))</calculatedColumnFormula>
    </tableColumn>
    <tableColumn id="11" xr3:uid="{6CB38F87-1B17-46F7-BC6C-EE906E19EB68}" name="Evaluators Response (SELECT)" dataDxfId="79"/>
    <tableColumn id="12" xr3:uid="{39A5A843-0896-4F4D-95B1-AC6BBB83A9C0}" name="Score" dataDxfId="78">
      <calculatedColumnFormula>H13-(H13*((MATCH(Table25[[#This Row],[Evaluators Response (SELECT)]],Table25[[#This Row],[1]:[11]],0)-1)/(COUNTA(Table25[[#This Row],[1]:[11]])-COUNTBLANK(Table25[[#This Row],[1]:[11]])-1)))</calculatedColumnFormula>
    </tableColumn>
    <tableColumn id="13" xr3:uid="{FCAE1F64-AF4F-4882-BD79-95C9FF79BC6E}" name="Evaluator comments" dataDxfId="77"/>
    <tableColumn id="14" xr3:uid="{E063B300-B151-4E09-969C-200518DFC091}" name="1" dataDxfId="76">
      <calculatedColumnFormula array="1">IFERROR(INDEX(_xlfn.UNIQUE(TRIM(_xlfn.TEXTSPLIT(Table25[[#This Row],[Selection Option]:[Selection Option]],","))),,N$11),"")</calculatedColumnFormula>
    </tableColumn>
    <tableColumn id="15" xr3:uid="{08CEFD0F-9F64-4B01-A125-C695C438F083}" name="2" dataDxfId="75"/>
    <tableColumn id="16" xr3:uid="{91A1D78C-E5C5-4338-BA93-D26474286DE7}" name="3" dataDxfId="74"/>
    <tableColumn id="17" xr3:uid="{D9C583F8-B48C-4A04-BC5E-5659E0665E3C}" name="4" dataDxfId="73"/>
    <tableColumn id="18" xr3:uid="{3E837502-C1B8-4883-B6C6-9BF7B5641710}" name="5" dataDxfId="72"/>
    <tableColumn id="25" xr3:uid="{F8FC3D1B-6F10-40F5-A7B5-CDAA57BF6442}" name="6" dataDxfId="71"/>
    <tableColumn id="26" xr3:uid="{FEF70D15-AF7E-4368-8FDB-210464401461}" name="7" dataDxfId="70"/>
    <tableColumn id="27" xr3:uid="{5F2D61F1-D522-43FC-88CC-31E726484DD5}" name="8" dataDxfId="69"/>
    <tableColumn id="28" xr3:uid="{66821344-AA2D-46A4-9751-9064DD46143D}" name="9" dataDxfId="68"/>
    <tableColumn id="29" xr3:uid="{A563A981-7D88-4024-8466-7550B5EBC16F}" name="10" dataDxfId="67"/>
    <tableColumn id="30" xr3:uid="{5B815B23-811A-4BC7-9B82-BE72D661A0C7}" name="11" dataDxfId="66"/>
    <tableColumn id="31" xr3:uid="{F2C4D719-1C44-409C-BB22-E8D486885CFA}" name="12" dataDxfId="65">
      <calculatedColumnFormula array="1">IF(Table25[[#This Row],[1]]="","",Table25[[#This Row],[Weight]:[Weight]]-(Table25[[#This Row],[Weight]:[Weight]]*((_xlfn.XMATCH(Table25[[#This Row],[1]],Table25[[#This Row],[1]:[11]],0))-1)/(COUNTA(Table25[[#This Row],[1]:[11]])-COUNTBLANK(Table25[[#This Row],[1]:[11]])-1)))</calculatedColumnFormula>
    </tableColumn>
    <tableColumn id="32" xr3:uid="{7A188761-0512-4E77-AF9C-56BB9D0AB8E0}" name="13" dataDxfId="64">
      <calculatedColumnFormula array="1">IF(Table25[[#This Row],[2]]="","",Table25[[#This Row],[Weight]:[Weight]]-(Table25[[#This Row],[Weight]:[Weight]]*((_xlfn.XMATCH(Table25[[#This Row],[2]],Table25[[#This Row],[1]:[11]],0))-1)/(COUNTA(Table25[[#This Row],[1]:[11]])-COUNTBLANK(Table25[[#This Row],[1]:[11]])-1)))</calculatedColumnFormula>
    </tableColumn>
    <tableColumn id="33" xr3:uid="{550C2C24-93AD-4CF1-966D-75A22A82BC40}" name="14" dataDxfId="63">
      <calculatedColumnFormula array="1">IF(Table25[[#This Row],[3]]="","",Table25[[#This Row],[Weight]:[Weight]]-(Table25[[#This Row],[Weight]:[Weight]]*((_xlfn.XMATCH(Table25[[#This Row],[3]],Table25[[#This Row],[1]:[11]],0))-1)/(COUNTA(Table25[[#This Row],[1]:[11]])-COUNTBLANK(Table25[[#This Row],[1]:[11]])-1)))</calculatedColumnFormula>
    </tableColumn>
    <tableColumn id="34" xr3:uid="{A90CA352-85B4-41A6-8DB4-380E3190A8A1}" name="15" dataDxfId="62">
      <calculatedColumnFormula array="1">IF(Table25[[#This Row],[4]]="","",Table25[[#This Row],[Weight]:[Weight]]-(Table25[[#This Row],[Weight]:[Weight]]*((_xlfn.XMATCH(Table25[[#This Row],[4]],Table25[[#This Row],[1]:[11]],0))-1)/(COUNTA(Table25[[#This Row],[1]:[11]])-COUNTBLANK(Table25[[#This Row],[1]:[11]])-1)))</calculatedColumnFormula>
    </tableColumn>
    <tableColumn id="35" xr3:uid="{4AB93CDB-C425-4C99-AC76-9A0911F96FFC}" name="16" dataDxfId="61">
      <calculatedColumnFormula array="1">IF(Table25[[#This Row],[5]]="","",Table25[[#This Row],[Weight]:[Weight]]-(Table25[[#This Row],[Weight]:[Weight]]*((_xlfn.XMATCH(Table25[[#This Row],[5]],Table25[[#This Row],[1]:[11]],0))-1)/(COUNTA(Table25[[#This Row],[1]:[11]])-COUNTBLANK(Table25[[#This Row],[1]:[11]])-1)))</calculatedColumnFormula>
    </tableColumn>
    <tableColumn id="36" xr3:uid="{BB21AF1D-B8DF-493E-96CA-155E87D3C74C}" name="17" dataDxfId="60">
      <calculatedColumnFormula array="1">IF(Table25[[#This Row],[6]]="","",Table25[[#This Row],[Weight]:[Weight]]-(Table25[[#This Row],[Weight]:[Weight]]*((_xlfn.XMATCH(Table25[[#This Row],[6]],Table25[[#This Row],[1]:[11]],0))-1)/(COUNTA(Table25[[#This Row],[1]:[11]])-COUNTBLANK(Table25[[#This Row],[1]:[11]])-1)))</calculatedColumnFormula>
    </tableColumn>
    <tableColumn id="37" xr3:uid="{C1487D21-7533-4331-B1C7-E2D334EEEE8D}" name="18" dataDxfId="59">
      <calculatedColumnFormula array="1">IF(Table25[[#This Row],[7]]="","",Table25[[#This Row],[Weight]:[Weight]]-(Table25[[#This Row],[Weight]:[Weight]]*((_xlfn.XMATCH(Table25[[#This Row],[7]],Table25[[#This Row],[1]:[11]],0))-1)/(COUNTA(Table25[[#This Row],[1]:[11]])-COUNTBLANK(Table25[[#This Row],[1]:[11]])-1)))</calculatedColumnFormula>
    </tableColumn>
    <tableColumn id="38" xr3:uid="{C376387F-7284-4BF0-B493-3180C90CEC30}" name="19" dataDxfId="58">
      <calculatedColumnFormula array="1">IF(Table25[[#This Row],[8]]="","",Table25[[#This Row],[Weight]:[Weight]]-(Table25[[#This Row],[Weight]:[Weight]]*((_xlfn.XMATCH(Table25[[#This Row],[8]],Table25[[#This Row],[1]:[11]],0))-1)/(COUNTA(Table25[[#This Row],[1]:[11]])-COUNTBLANK(Table25[[#This Row],[1]:[11]])-1)))</calculatedColumnFormula>
    </tableColumn>
    <tableColumn id="39" xr3:uid="{FC1992BA-B470-4115-A028-8D695B5D3566}" name="20" dataDxfId="57">
      <calculatedColumnFormula array="1">IF(Table25[[#This Row],[9]]="","",Table25[[#This Row],[Weight]:[Weight]]-(Table25[[#This Row],[Weight]:[Weight]]*((_xlfn.XMATCH(Table25[[#This Row],[9]],Table25[[#This Row],[1]:[11]],0))-1)/(COUNTA(Table25[[#This Row],[1]:[11]])-COUNTBLANK(Table25[[#This Row],[1]:[11]])-1)))</calculatedColumnFormula>
    </tableColumn>
    <tableColumn id="40" xr3:uid="{4C502328-DBFD-4E9F-A8E5-4F4F674EBED1}" name="21" dataDxfId="56">
      <calculatedColumnFormula array="1">IF(Table25[[#This Row],[10]]="","",Table25[[#This Row],[Weight]:[Weight]]-(Table25[[#This Row],[Weight]:[Weight]]*((_xlfn.XMATCH(Table25[[#This Row],[10]],Table25[[#This Row],[1]:[11]],0))-1)/(COUNTA(Table25[[#This Row],[1]:[11]])-COUNTBLANK(Table25[[#This Row],[1]:[11]])-1)))</calculatedColumnFormula>
    </tableColumn>
    <tableColumn id="41" xr3:uid="{DCA85428-9DA5-4123-ABD1-0432C30A6114}" name="22" dataDxfId="55">
      <calculatedColumnFormula array="1">IF(Table25[[#This Row],[11]]="","",Table25[[#This Row],[Weight]:[Weight]]-(Table25[[#This Row],[Weight]:[Weight]]*((_xlfn.XMATCH(Table25[[#This Row],[11]],Table25[[#This Row],[1]:[11]],0))-1)/(COUNTA(Table25[[#This Row],[1]:[11]])-COUNTBLANK(Table25[[#This Row],[1]:[11]])-1)))</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A337299-9ECD-4C99-B7E8-FD8955152CB1}" name="Table2678" displayName="Table2678" ref="A12:AI31" totalsRowShown="0" headerRowDxfId="54" dataDxfId="52" headerRowBorderDxfId="53" tableBorderDxfId="51" totalsRowBorderDxfId="50">
  <autoFilter ref="A12:AI31" xr:uid="{DBBFD16F-C697-4B03-8565-497D940E477E}"/>
  <tableColumns count="35">
    <tableColumn id="1" xr3:uid="{AA4544D9-876C-4237-A061-3BD573ABE1CB}" name="Intem#" dataDxfId="49"/>
    <tableColumn id="2" xr3:uid="{53177B92-C2CD-4DBC-84DB-D476665D88B8}" name="Business requirements " dataDxfId="48"/>
    <tableColumn id="3" xr3:uid="{64094142-05A2-4BA1-B672-7D1989A0656B}" name="Mandatory Returnables - This colunm lists the mandotory evidence to be provided by the vendor in the technical file and numbered to align with each criteria question. " dataDxfId="47"/>
    <tableColumn id="4" xr3:uid="{C97063F4-A9FA-4366-B184-F951EBCE9A62}" name="Vendor Response: Vendor to indicate if, and to what extent they meet the requirement, detail must be provided in the tender submission" dataDxfId="46"/>
    <tableColumn id="5" xr3:uid="{8DF31624-0530-4FB1-B517-23D734FC24E6}" name="Vendor Evidence: Location of Supporting Document/detailed response in your tender submission (state the file number, section &amp; page number)" dataDxfId="45"/>
    <tableColumn id="6" xr3:uid="{AE60D594-5F4A-4CB8-ABC1-681E1F1B2A71}" name="Priority Description" dataDxfId="44"/>
    <tableColumn id="7" xr3:uid="{28149026-C6AD-4F62-BAC1-501F5C107EE6}" name="Priority" dataDxfId="43">
      <calculatedColumnFormula array="1">_xlfn.IFS(F13="","",F13="No interest",0,F13="Nice to have",1,F13="Useful",2,F13="Important",3,F13="Very important",4,F13="Critical",5,F13="Show stopper",6)</calculatedColumnFormula>
    </tableColumn>
    <tableColumn id="8" xr3:uid="{CB90786D-867A-4124-9FF4-F1970654F869}" name="Weight" dataDxfId="42" dataCellStyle="Percent">
      <calculatedColumnFormula>(G13/$G$11)*$F$11</calculatedColumnFormula>
    </tableColumn>
    <tableColumn id="9" xr3:uid="{49C0247E-19CF-4CAA-BBF9-D0B9BCA92A74}" name="Selection Options" dataDxfId="41"/>
    <tableColumn id="42" xr3:uid="{88F1D43F-E661-4398-A33D-F7952B203769}" name="Option Score" dataDxfId="40">
      <calculatedColumnFormula array="1">_xlfn.TEXTJOIN(" "&amp;CHAR(10),,TEXT(SUBSTITUTE(Table2678[[#This Row],[12]:[22]],".",","),"0,00%"))</calculatedColumnFormula>
    </tableColumn>
    <tableColumn id="11" xr3:uid="{61493844-98BF-4150-B423-72BC8C6E3F9E}" name="Evaluators Response (SELECT)" dataDxfId="39"/>
    <tableColumn id="12" xr3:uid="{6831A8C1-28E6-4B84-9048-79084629976A}" name="Score" dataDxfId="38">
      <calculatedColumnFormula>H13-(H13*((MATCH(Table2678[[#This Row],[Evaluators Response (SELECT)]],Table2678[[#This Row],[1]:[11]],0)-1)/(COUNTA(Table2678[[#This Row],[1]:[11]])-COUNTBLANK(Table2678[[#This Row],[1]:[11]])-1)))</calculatedColumnFormula>
    </tableColumn>
    <tableColumn id="13" xr3:uid="{3A6BC9C7-BAF7-401B-A0B6-4F8597529946}" name="Evaluator comments" dataDxfId="37"/>
    <tableColumn id="14" xr3:uid="{F8DD4877-9BD1-49F7-8AFA-CA4C1849662A}" name="1" dataDxfId="36">
      <calculatedColumnFormula array="1">IFERROR(INDEX(_xlfn.UNIQUE(TRIM(_xlfn.TEXTSPLIT(Table2678[[#This Row],[Selection Options]:[Selection Options]],","))),,N$11),"")</calculatedColumnFormula>
    </tableColumn>
    <tableColumn id="15" xr3:uid="{455A2CFC-9996-48FB-ACD6-AD6621AEF167}" name="2" dataDxfId="35"/>
    <tableColumn id="16" xr3:uid="{A8256C2E-7CDB-4BE8-9A02-C5D0C620704F}" name="3" dataDxfId="34"/>
    <tableColumn id="17" xr3:uid="{ABB2C2B7-69C1-406E-BAFD-BA647B8885A7}" name="4" dataDxfId="33"/>
    <tableColumn id="18" xr3:uid="{0B832CE2-8C61-4D78-BAFE-A27A62A95005}" name="5" dataDxfId="32"/>
    <tableColumn id="25" xr3:uid="{48514056-9B84-4C1E-B306-2B1678D693D3}" name="6" dataDxfId="31"/>
    <tableColumn id="26" xr3:uid="{60DC8307-9BB5-48F2-8D79-9E822B502477}" name="7" dataDxfId="30"/>
    <tableColumn id="27" xr3:uid="{847B6FB4-6447-44CF-9ED3-B2FE524E3F35}" name="8" dataDxfId="29"/>
    <tableColumn id="28" xr3:uid="{4702FCB5-7F35-4ED9-8ACC-899920EBD3CD}" name="9" dataDxfId="28"/>
    <tableColumn id="29" xr3:uid="{755BC202-887A-48E9-B8C8-C68BB6040723}" name="10" dataDxfId="27"/>
    <tableColumn id="30" xr3:uid="{EE508C4E-A860-4CF7-8C98-495730AAC7FF}" name="11" dataDxfId="26"/>
    <tableColumn id="31" xr3:uid="{C9D18A6F-4DAE-4BCF-B331-2F37F6C3FD49}" name="12" dataDxfId="25">
      <calculatedColumnFormula array="1">IF(Table2678[[#This Row],[1]]="","",Table2678[[#This Row],[Weight]:[Weight]]-(Table2678[[#This Row],[Weight]:[Weight]]*((_xlfn.XMATCH(Table2678[[#This Row],[1]],Table2678[[#This Row],[1]:[11]],0))-1)/(COUNTA(Table2678[[#This Row],[1]:[11]])-COUNTBLANK(Table2678[[#This Row],[1]:[11]])-1)))</calculatedColumnFormula>
    </tableColumn>
    <tableColumn id="32" xr3:uid="{C1D6B4D2-5700-46EF-B32A-836D41D433EF}" name="13" dataDxfId="24">
      <calculatedColumnFormula array="1">IF(Table2678[[#This Row],[2]]="","",Table2678[[#This Row],[Weight]:[Weight]]-(Table2678[[#This Row],[Weight]:[Weight]]*((_xlfn.XMATCH(Table2678[[#This Row],[2]],Table2678[[#This Row],[1]:[11]],0))-1)/(COUNTA(Table2678[[#This Row],[1]:[11]])-COUNTBLANK(Table2678[[#This Row],[1]:[11]])-1)))</calculatedColumnFormula>
    </tableColumn>
    <tableColumn id="33" xr3:uid="{5B496460-149A-4150-8681-82B4E96321E2}" name="14" dataDxfId="23">
      <calculatedColumnFormula array="1">IF(Table2678[[#This Row],[3]]="","",Table2678[[#This Row],[Weight]:[Weight]]-(Table2678[[#This Row],[Weight]:[Weight]]*((_xlfn.XMATCH(Table2678[[#This Row],[3]],Table2678[[#This Row],[1]:[11]],0))-1)/(COUNTA(Table2678[[#This Row],[1]:[11]])-COUNTBLANK(Table2678[[#This Row],[1]:[11]])-1)))</calculatedColumnFormula>
    </tableColumn>
    <tableColumn id="34" xr3:uid="{55BE7667-D92E-4583-9921-6D3910F8C4A2}" name="15" dataDxfId="22">
      <calculatedColumnFormula array="1">IF(Table2678[[#This Row],[4]]="","",Table2678[[#This Row],[Weight]:[Weight]]-(Table2678[[#This Row],[Weight]:[Weight]]*((_xlfn.XMATCH(Table2678[[#This Row],[4]],Table2678[[#This Row],[1]:[11]],0))-1)/(COUNTA(Table2678[[#This Row],[1]:[11]])-COUNTBLANK(Table2678[[#This Row],[1]:[11]])-1)))</calculatedColumnFormula>
    </tableColumn>
    <tableColumn id="35" xr3:uid="{8BF5DBC9-A910-4253-85A6-424E1A19D7EF}" name="16" dataDxfId="21">
      <calculatedColumnFormula array="1">IF(Table2678[[#This Row],[5]]="","",Table2678[[#This Row],[Weight]:[Weight]]-(Table2678[[#This Row],[Weight]:[Weight]]*((_xlfn.XMATCH(Table2678[[#This Row],[5]],Table2678[[#This Row],[1]:[11]],0))-1)/(COUNTA(Table2678[[#This Row],[1]:[11]])-COUNTBLANK(Table2678[[#This Row],[1]:[11]])-1)))</calculatedColumnFormula>
    </tableColumn>
    <tableColumn id="36" xr3:uid="{7E0B542B-C69E-45CF-963E-9835F8315114}" name="17" dataDxfId="20">
      <calculatedColumnFormula array="1">IF(Table2678[[#This Row],[6]]="","",Table2678[[#This Row],[Weight]:[Weight]]-(Table2678[[#This Row],[Weight]:[Weight]]*((_xlfn.XMATCH(Table2678[[#This Row],[6]],Table2678[[#This Row],[1]:[11]],0))-1)/(COUNTA(Table2678[[#This Row],[1]:[11]])-COUNTBLANK(Table2678[[#This Row],[1]:[11]])-1)))</calculatedColumnFormula>
    </tableColumn>
    <tableColumn id="37" xr3:uid="{C244A531-83EB-4A74-BDFC-CE6B1298AE85}" name="18" dataDxfId="19">
      <calculatedColumnFormula array="1">IF(Table2678[[#This Row],[7]]="","",Table2678[[#This Row],[Weight]:[Weight]]-(Table2678[[#This Row],[Weight]:[Weight]]*((_xlfn.XMATCH(Table2678[[#This Row],[7]],Table2678[[#This Row],[1]:[11]],0))-1)/(COUNTA(Table2678[[#This Row],[1]:[11]])-COUNTBLANK(Table2678[[#This Row],[1]:[11]])-1)))</calculatedColumnFormula>
    </tableColumn>
    <tableColumn id="38" xr3:uid="{D357D579-5C8D-4EDB-96F3-0ACC319FFB82}" name="19" dataDxfId="18">
      <calculatedColumnFormula array="1">IF(Table2678[[#This Row],[8]]="","",Table2678[[#This Row],[Weight]:[Weight]]-(Table2678[[#This Row],[Weight]:[Weight]]*((_xlfn.XMATCH(Table2678[[#This Row],[8]],Table2678[[#This Row],[1]:[11]],0))-1)/(COUNTA(Table2678[[#This Row],[1]:[11]])-COUNTBLANK(Table2678[[#This Row],[1]:[11]])-1)))</calculatedColumnFormula>
    </tableColumn>
    <tableColumn id="39" xr3:uid="{22A8DAF6-44F6-4B54-8A40-A6F7D679A58D}" name="20" dataDxfId="17">
      <calculatedColumnFormula array="1">IF(Table2678[[#This Row],[9]]="","",Table2678[[#This Row],[Weight]:[Weight]]-(Table2678[[#This Row],[Weight]:[Weight]]*((_xlfn.XMATCH(Table2678[[#This Row],[9]],Table2678[[#This Row],[1]:[11]],0))-1)/(COUNTA(Table2678[[#This Row],[1]:[11]])-COUNTBLANK(Table2678[[#This Row],[1]:[11]])-1)))</calculatedColumnFormula>
    </tableColumn>
    <tableColumn id="40" xr3:uid="{EDD3BD95-2371-46D2-BDB3-F829392957B0}" name="21" dataDxfId="16">
      <calculatedColumnFormula array="1">IF(Table2678[[#This Row],[10]]="","",Table2678[[#This Row],[Weight]:[Weight]]-(Table2678[[#This Row],[Weight]:[Weight]]*((_xlfn.XMATCH(Table2678[[#This Row],[10]],Table2678[[#This Row],[1]:[11]],0))-1)/(COUNTA(Table2678[[#This Row],[1]:[11]])-COUNTBLANK(Table2678[[#This Row],[1]:[11]])-1)))</calculatedColumnFormula>
    </tableColumn>
    <tableColumn id="41" xr3:uid="{9C2E69AD-2AD4-4F24-983F-BD363BAB4CE6}" name="22" dataDxfId="15">
      <calculatedColumnFormula array="1">IF(Table2678[[#This Row],[11]]="","",Table2678[[#This Row],[Weight]:[Weight]]-(Table2678[[#This Row],[Weight]:[Weight]]*((_xlfn.XMATCH(Table2678[[#This Row],[11]],Table2678[[#This Row],[1]:[11]],0))-1)/(COUNTA(Table2678[[#This Row],[1]:[11]])-COUNTBLANK(Table2678[[#This Row],[1]:[11]])-1)))</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3" dT="2024-05-24T12:07:36.37" personId="{738B746C-4C09-445C-B8FE-621602696C31}" id="{6EDE6644-28CA-4380-8D66-541E8BD7226B}">
    <text xml:space="preserve">The Business Requirement Specification document usually contains statements using business or plain English terminology. </text>
  </threadedComment>
  <threadedComment ref="C15" dT="2024-05-24T12:08:39.14" personId="{738B746C-4C09-445C-B8FE-621602696C31}" id="{A7A9781F-8B9E-44C3-BBED-9270FFF55B72}">
    <text xml:space="preserve">The logical design document contains a Functional Decomposition Model which has translated the BRS statements into more usable functional statements for purposes of evaluation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omments" Target="../comments3.xml"/><Relationship Id="rId4" Type="http://schemas.openxmlformats.org/officeDocument/2006/relationships/table" Target="../tables/table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comments" Target="../comments4.xml"/><Relationship Id="rId4"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omments" Target="../comments5.xml"/><Relationship Id="rId4"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8DDD-83BE-4352-B657-9676103E5FE7}">
  <sheetPr>
    <pageSetUpPr fitToPage="1"/>
  </sheetPr>
  <dimension ref="A2:AI25"/>
  <sheetViews>
    <sheetView topLeftCell="A14" zoomScale="71" zoomScaleNormal="90" workbookViewId="0">
      <selection activeCell="B7" sqref="B7:J7"/>
    </sheetView>
  </sheetViews>
  <sheetFormatPr defaultColWidth="13.140625" defaultRowHeight="11.25" x14ac:dyDescent="0.2"/>
  <cols>
    <col min="1" max="1" width="13.140625" style="49"/>
    <col min="2" max="5" width="30.5703125" style="57" customWidth="1"/>
    <col min="6" max="6" width="31.140625" style="57" customWidth="1"/>
    <col min="7" max="7" width="15" style="57" customWidth="1"/>
    <col min="8" max="8" width="13.140625" style="57"/>
    <col min="9" max="9" width="25.28515625" style="58" customWidth="1"/>
    <col min="10" max="10" width="20.5703125" style="59" customWidth="1"/>
    <col min="11" max="11" width="44.28515625" style="51" customWidth="1"/>
    <col min="12" max="12" width="13.140625" style="52"/>
    <col min="13" max="13" width="29.7109375" style="53" customWidth="1"/>
    <col min="14" max="35" width="0" style="52" hidden="1" customWidth="1"/>
    <col min="36" max="16384" width="13.140625" style="52"/>
  </cols>
  <sheetData>
    <row r="2" spans="1:13" ht="36" customHeight="1" x14ac:dyDescent="0.2">
      <c r="B2" s="279" t="s">
        <v>0</v>
      </c>
      <c r="C2" s="279"/>
      <c r="D2" s="279"/>
      <c r="E2" s="279"/>
      <c r="F2" s="279"/>
      <c r="G2" s="279"/>
      <c r="H2" s="279"/>
      <c r="I2" s="279"/>
      <c r="J2" s="279"/>
    </row>
    <row r="3" spans="1:13" ht="22.35" customHeight="1" x14ac:dyDescent="0.2">
      <c r="A3" s="280" t="s">
        <v>1</v>
      </c>
      <c r="B3" s="280"/>
      <c r="C3" s="280"/>
      <c r="D3" s="280"/>
      <c r="E3" s="280"/>
      <c r="F3" s="280"/>
      <c r="G3" s="280"/>
      <c r="H3" s="280"/>
      <c r="I3" s="280"/>
      <c r="J3" s="280"/>
    </row>
    <row r="4" spans="1:13" ht="69" customHeight="1" x14ac:dyDescent="0.2">
      <c r="B4" s="281" t="s">
        <v>2</v>
      </c>
      <c r="C4" s="279"/>
      <c r="D4" s="279"/>
      <c r="E4" s="279"/>
      <c r="F4" s="279"/>
      <c r="G4" s="279"/>
      <c r="H4" s="279"/>
      <c r="I4" s="279"/>
      <c r="J4" s="279"/>
    </row>
    <row r="5" spans="1:13" ht="6" customHeight="1" x14ac:dyDescent="0.2">
      <c r="B5" s="54"/>
      <c r="C5" s="50"/>
      <c r="D5" s="50"/>
      <c r="E5" s="50"/>
      <c r="F5" s="50"/>
      <c r="G5" s="50"/>
      <c r="H5" s="50"/>
      <c r="I5" s="50"/>
      <c r="J5" s="50"/>
    </row>
    <row r="6" spans="1:13" ht="25.35" customHeight="1" x14ac:dyDescent="0.2">
      <c r="A6" s="280" t="s">
        <v>3</v>
      </c>
      <c r="B6" s="280"/>
      <c r="C6" s="280"/>
      <c r="D6" s="280"/>
      <c r="E6" s="280"/>
      <c r="F6" s="280"/>
      <c r="G6" s="280"/>
      <c r="H6" s="280"/>
      <c r="I6" s="280"/>
      <c r="J6" s="280"/>
    </row>
    <row r="7" spans="1:13" ht="91.7" customHeight="1" x14ac:dyDescent="0.2">
      <c r="B7" s="281" t="s">
        <v>4</v>
      </c>
      <c r="C7" s="279"/>
      <c r="D7" s="279"/>
      <c r="E7" s="279"/>
      <c r="F7" s="279"/>
      <c r="G7" s="279"/>
      <c r="H7" s="279"/>
      <c r="I7" s="279"/>
      <c r="J7" s="279"/>
    </row>
    <row r="8" spans="1:13" ht="11.45" customHeight="1" x14ac:dyDescent="0.2">
      <c r="B8" s="50"/>
      <c r="C8" s="50"/>
      <c r="D8" s="50"/>
      <c r="E8" s="50"/>
      <c r="F8" s="50"/>
      <c r="G8" s="50"/>
      <c r="H8" s="50"/>
      <c r="I8" s="50"/>
      <c r="J8" s="50"/>
    </row>
    <row r="9" spans="1:13" ht="20.45" customHeight="1" x14ac:dyDescent="0.2">
      <c r="A9" s="280" t="s">
        <v>5</v>
      </c>
      <c r="B9" s="280"/>
      <c r="C9" s="280"/>
      <c r="D9" s="280"/>
      <c r="E9" s="280"/>
      <c r="F9" s="280"/>
      <c r="G9" s="280"/>
      <c r="H9" s="280"/>
      <c r="I9" s="280"/>
      <c r="J9" s="280"/>
    </row>
    <row r="10" spans="1:13" ht="15.75" x14ac:dyDescent="0.25">
      <c r="B10" s="282" t="s">
        <v>6</v>
      </c>
      <c r="C10" s="282"/>
      <c r="D10" s="282"/>
      <c r="E10" s="282"/>
      <c r="F10" s="282"/>
      <c r="G10" s="282"/>
      <c r="H10" s="282"/>
      <c r="I10" s="282"/>
      <c r="J10" s="282"/>
      <c r="K10" s="55"/>
      <c r="L10" s="55"/>
      <c r="M10" s="55"/>
    </row>
    <row r="11" spans="1:13" ht="12" customHeight="1" x14ac:dyDescent="0.2">
      <c r="B11" s="56" t="s">
        <v>7</v>
      </c>
    </row>
    <row r="12" spans="1:13" ht="12" customHeight="1" x14ac:dyDescent="0.2">
      <c r="B12" s="60"/>
    </row>
    <row r="13" spans="1:13" ht="45" x14ac:dyDescent="0.2">
      <c r="B13" s="61" t="s">
        <v>8</v>
      </c>
      <c r="C13" s="62" t="s">
        <v>9</v>
      </c>
      <c r="E13" s="63" t="s">
        <v>10</v>
      </c>
    </row>
    <row r="14" spans="1:13" x14ac:dyDescent="0.2">
      <c r="B14" s="61"/>
      <c r="C14" s="61"/>
      <c r="D14" s="64"/>
      <c r="E14" s="59"/>
      <c r="F14" s="64"/>
      <c r="G14" s="64"/>
      <c r="H14" s="64"/>
    </row>
    <row r="15" spans="1:13" ht="67.5" x14ac:dyDescent="0.2">
      <c r="B15" s="65" t="s">
        <v>11</v>
      </c>
      <c r="C15" s="62" t="s">
        <v>12</v>
      </c>
      <c r="E15" s="63" t="s">
        <v>13</v>
      </c>
    </row>
    <row r="16" spans="1:13" x14ac:dyDescent="0.2">
      <c r="B16" s="64"/>
      <c r="C16" s="64"/>
      <c r="D16" s="64"/>
      <c r="E16" s="64"/>
      <c r="F16" s="64"/>
      <c r="G16" s="64"/>
      <c r="H16" s="64"/>
    </row>
    <row r="17" spans="1:35" s="6" customFormat="1" ht="15" customHeight="1" x14ac:dyDescent="0.2">
      <c r="A17" s="283"/>
      <c r="B17" s="285" t="s">
        <v>14</v>
      </c>
      <c r="C17" s="285"/>
      <c r="D17" s="287" t="s">
        <v>15</v>
      </c>
      <c r="E17" s="288"/>
      <c r="F17" s="1" t="s">
        <v>16</v>
      </c>
      <c r="G17" s="2"/>
      <c r="H17" s="3"/>
      <c r="I17" s="3"/>
      <c r="J17" s="3"/>
      <c r="K17" s="3"/>
      <c r="L17" s="4"/>
      <c r="M17" s="5"/>
      <c r="N17" s="4"/>
      <c r="O17" s="4"/>
      <c r="P17" s="4"/>
      <c r="Q17" s="4"/>
      <c r="R17" s="4"/>
      <c r="S17" s="4"/>
      <c r="T17" s="4"/>
      <c r="U17" s="4"/>
      <c r="V17" s="4"/>
      <c r="W17" s="4"/>
      <c r="X17" s="4"/>
      <c r="Y17" s="4"/>
      <c r="Z17" s="4"/>
      <c r="AA17" s="4"/>
      <c r="AB17" s="4"/>
      <c r="AC17" s="4"/>
      <c r="AD17" s="4"/>
      <c r="AE17" s="4"/>
      <c r="AF17" s="4"/>
      <c r="AG17" s="4"/>
      <c r="AH17" s="4"/>
      <c r="AI17" s="4"/>
    </row>
    <row r="18" spans="1:35" s="6" customFormat="1" ht="12" x14ac:dyDescent="0.2">
      <c r="A18" s="284"/>
      <c r="B18" s="286"/>
      <c r="C18" s="286"/>
      <c r="D18" s="289"/>
      <c r="E18" s="289"/>
      <c r="F18" s="47">
        <v>0.2</v>
      </c>
      <c r="G18" s="48">
        <f>SUM(Table9[Priority])</f>
        <v>9</v>
      </c>
      <c r="H18" s="8">
        <f>SUM(Table9[Weight])</f>
        <v>0.2</v>
      </c>
      <c r="I18" s="7"/>
      <c r="J18" s="7"/>
      <c r="K18" s="9" t="s">
        <v>17</v>
      </c>
      <c r="L18" s="8">
        <f>SUM(Table24[Score])</f>
        <v>0.25</v>
      </c>
      <c r="M18" s="7"/>
      <c r="N18" s="10">
        <v>1</v>
      </c>
      <c r="O18" s="10">
        <v>2</v>
      </c>
      <c r="P18" s="10">
        <v>3</v>
      </c>
      <c r="Q18" s="10">
        <v>4</v>
      </c>
      <c r="R18" s="10">
        <v>5</v>
      </c>
      <c r="S18" s="10">
        <v>6</v>
      </c>
      <c r="T18" s="10">
        <v>7</v>
      </c>
      <c r="U18" s="10">
        <v>8</v>
      </c>
      <c r="V18" s="10">
        <v>9</v>
      </c>
      <c r="W18" s="10">
        <v>10</v>
      </c>
      <c r="X18" s="10">
        <v>11</v>
      </c>
      <c r="Y18" s="10">
        <v>12</v>
      </c>
      <c r="Z18" s="10">
        <v>13</v>
      </c>
      <c r="AA18" s="10">
        <v>14</v>
      </c>
      <c r="AB18" s="10">
        <v>15</v>
      </c>
      <c r="AC18" s="10">
        <v>16</v>
      </c>
      <c r="AD18" s="10">
        <v>17</v>
      </c>
      <c r="AE18" s="10">
        <v>18</v>
      </c>
      <c r="AF18" s="10">
        <v>19</v>
      </c>
      <c r="AG18" s="10">
        <v>20</v>
      </c>
      <c r="AH18" s="10">
        <v>21</v>
      </c>
      <c r="AI18" s="10">
        <v>22</v>
      </c>
    </row>
    <row r="19" spans="1:35" s="6" customFormat="1" ht="60" x14ac:dyDescent="0.2">
      <c r="A19" s="11" t="s">
        <v>18</v>
      </c>
      <c r="B19" s="12" t="s">
        <v>19</v>
      </c>
      <c r="C19" s="13" t="s">
        <v>20</v>
      </c>
      <c r="D19" s="14" t="s">
        <v>21</v>
      </c>
      <c r="E19" s="14" t="s">
        <v>22</v>
      </c>
      <c r="F19" s="15" t="s">
        <v>23</v>
      </c>
      <c r="G19" s="16" t="s">
        <v>24</v>
      </c>
      <c r="H19" s="16" t="s">
        <v>25</v>
      </c>
      <c r="I19" s="15" t="s">
        <v>26</v>
      </c>
      <c r="J19" s="16" t="s">
        <v>27</v>
      </c>
      <c r="K19" s="15" t="s">
        <v>28</v>
      </c>
      <c r="L19" s="17" t="s">
        <v>29</v>
      </c>
      <c r="M19" s="15" t="s">
        <v>30</v>
      </c>
      <c r="N19" s="18" t="s">
        <v>31</v>
      </c>
      <c r="O19" s="18" t="s">
        <v>32</v>
      </c>
      <c r="P19" s="18" t="s">
        <v>33</v>
      </c>
      <c r="Q19" s="18" t="s">
        <v>34</v>
      </c>
      <c r="R19" s="18" t="s">
        <v>35</v>
      </c>
      <c r="S19" s="18" t="s">
        <v>36</v>
      </c>
      <c r="T19" s="18" t="s">
        <v>37</v>
      </c>
      <c r="U19" s="18" t="s">
        <v>38</v>
      </c>
      <c r="V19" s="18" t="s">
        <v>39</v>
      </c>
      <c r="W19" s="18" t="s">
        <v>40</v>
      </c>
      <c r="X19" s="18" t="s">
        <v>41</v>
      </c>
      <c r="Y19" s="19" t="s">
        <v>42</v>
      </c>
      <c r="Z19" s="19" t="s">
        <v>43</v>
      </c>
      <c r="AA19" s="19" t="s">
        <v>44</v>
      </c>
      <c r="AB19" s="19" t="s">
        <v>45</v>
      </c>
      <c r="AC19" s="19" t="s">
        <v>46</v>
      </c>
      <c r="AD19" s="19" t="s">
        <v>47</v>
      </c>
      <c r="AE19" s="19" t="s">
        <v>48</v>
      </c>
      <c r="AF19" s="19" t="s">
        <v>49</v>
      </c>
      <c r="AG19" s="19" t="s">
        <v>50</v>
      </c>
      <c r="AH19" s="19" t="s">
        <v>51</v>
      </c>
      <c r="AI19" s="116" t="s">
        <v>52</v>
      </c>
    </row>
    <row r="20" spans="1:35" s="6" customFormat="1" ht="144" x14ac:dyDescent="0.2">
      <c r="A20" s="117">
        <v>1</v>
      </c>
      <c r="B20" s="21" t="s">
        <v>53</v>
      </c>
      <c r="C20" s="21" t="s">
        <v>54</v>
      </c>
      <c r="D20" s="21"/>
      <c r="E20" s="21" t="s">
        <v>55</v>
      </c>
      <c r="F20" s="22" t="s">
        <v>56</v>
      </c>
      <c r="G20" s="23" cm="1">
        <f t="array" ref="G20">_xlfn.IFS(F20="","",F20="No interest",0,F20="Nice to have",1,F20="Useful",2,F20="Important",3,F20="Very important",4,F20="Critical",5,F20="Show stopper",6)</f>
        <v>3</v>
      </c>
      <c r="H20" s="24">
        <f t="shared" ref="H20:H21" si="0">(G20/$G$18)*$F$18</f>
        <v>6.6666666666666666E-2</v>
      </c>
      <c r="I20" s="25" t="s">
        <v>57</v>
      </c>
      <c r="J20" s="25" t="str" cm="1">
        <f t="array" ref="J20">_xlfn.TEXTJOIN(","&amp;CHAR(10),,TEXT(Table9[[#This Row],[12]:[22]],"0,00%"))</f>
        <v>0,07%,
0,00%</v>
      </c>
      <c r="K20" s="26" t="s">
        <v>58</v>
      </c>
      <c r="L20" s="27" t="e">
        <f>H20-(H20*((MATCH(Table24[[#This Row],[Evaluators Response (SELECT)]],Table24[[#This Row],[1]:[11]],0)-1)/(COUNTA(Table24[[#This Row],[1]:[11]])-COUNTBLANK(Table24[[#This Row],[1]:[11]])-1)))</f>
        <v>#VALUE!</v>
      </c>
      <c r="M20" s="28"/>
      <c r="N20" s="41" t="str" cm="1">
        <f t="array" ref="N20">IFERROR(INDEX(_xlfn.UNIQUE(TRIM(_xlfn.TEXTSPLIT(Table9[[#This Row],[Selection Option]:[Selection Option]],","))),,N$18),"")</f>
        <v>Refresh rate &gt;=60</v>
      </c>
      <c r="O20" s="41" t="str" cm="1">
        <f t="array" ref="O20">IFERROR(INDEX(_xlfn.UNIQUE(TRIM(_xlfn.TEXTSPLIT(Table9[[#This Row],[Selection Option]:[Selection Option]],","))),,O$18),"")</f>
        <v xml:space="preserve">
Refresh rate &lt;60</v>
      </c>
      <c r="P20" s="41" t="str" cm="1">
        <f t="array" ref="P20">IFERROR(INDEX(_xlfn.UNIQUE(TRIM(_xlfn.TEXTSPLIT(Table9[[#This Row],[Selection Option]:[Selection Option]],","))),,P$18),"")</f>
        <v/>
      </c>
      <c r="Q20" s="41" t="str" cm="1">
        <f t="array" ref="Q20">IFERROR(INDEX(_xlfn.UNIQUE(TRIM(_xlfn.TEXTSPLIT(Table9[[#This Row],[Selection Option]:[Selection Option]],","))),,Q$18),"")</f>
        <v/>
      </c>
      <c r="R20" s="41" t="str" cm="1">
        <f t="array" ref="R20">IFERROR(INDEX(_xlfn.UNIQUE(TRIM(_xlfn.TEXTSPLIT(Table9[[#This Row],[Selection Option]:[Selection Option]],","))),,R$18),"")</f>
        <v/>
      </c>
      <c r="S20" s="41" t="str" cm="1">
        <f t="array" ref="S20">IFERROR(INDEX(_xlfn.UNIQUE(TRIM(_xlfn.TEXTSPLIT(Table9[[#This Row],[Selection Option]:[Selection Option]],","))),,S$18),"")</f>
        <v/>
      </c>
      <c r="T20" s="41" t="str" cm="1">
        <f t="array" ref="T20">IFERROR(INDEX(_xlfn.UNIQUE(TRIM(_xlfn.TEXTSPLIT(Table9[[#This Row],[Selection Option]:[Selection Option]],","))),,T$18),"")</f>
        <v/>
      </c>
      <c r="U20" s="41" t="str" cm="1">
        <f t="array" ref="U20">IFERROR(INDEX(_xlfn.UNIQUE(TRIM(_xlfn.TEXTSPLIT(Table9[[#This Row],[Selection Option]:[Selection Option]],","))),,U$18),"")</f>
        <v/>
      </c>
      <c r="V20" s="41" t="str" cm="1">
        <f t="array" ref="V20">IFERROR(INDEX(_xlfn.UNIQUE(TRIM(_xlfn.TEXTSPLIT(Table9[[#This Row],[Selection Option]:[Selection Option]],","))),,V$18),"")</f>
        <v/>
      </c>
      <c r="W20" s="41" t="str" cm="1">
        <f t="array" ref="W20">IFERROR(INDEX(_xlfn.UNIQUE(TRIM(_xlfn.TEXTSPLIT(Table9[[#This Row],[Selection Option]:[Selection Option]],","))),,W$18),"")</f>
        <v/>
      </c>
      <c r="X20" s="41" t="str" cm="1">
        <f t="array" ref="X20">IFERROR(INDEX(_xlfn.UNIQUE(TRIM(_xlfn.TEXTSPLIT(Table9[[#This Row],[Selection Option]:[Selection Option]],","))),,X$18),"")</f>
        <v/>
      </c>
      <c r="Y20" s="30" cm="1">
        <f t="array" ref="Y20">IF(Table9[[#This Row],[1]]="","",Table9[[#This Row],[Weight]:[Weight]]-(Table9[[#This Row],[Weight]:[Weight]]*((_xlfn.XMATCH(Table9[[#This Row],[1]],Table9[[#This Row],[1]:[11]],0))-1)/(COUNTA(Table9[[#This Row],[1]:[11]])-COUNTBLANK(Table9[[#This Row],[1]:[11]])-1)))</f>
        <v>6.6666666666666666E-2</v>
      </c>
      <c r="Z20" s="30" cm="1">
        <f t="array" ref="Z20">IF(Table9[[#This Row],[2]]="","",Table9[[#This Row],[Weight]:[Weight]]-(Table9[[#This Row],[Weight]:[Weight]]*((_xlfn.XMATCH(Table9[[#This Row],[2]],Table9[[#This Row],[1]:[11]],0))-1)/(COUNTA(Table9[[#This Row],[1]:[11]])-COUNTBLANK(Table9[[#This Row],[1]:[11]])-1)))</f>
        <v>0</v>
      </c>
      <c r="AA20" s="30" t="str" cm="1">
        <f t="array" ref="AA20">IF(Table9[[#This Row],[3]]="","",Table9[[#This Row],[Weight]:[Weight]]-(Table9[[#This Row],[Weight]:[Weight]]*((_xlfn.XMATCH(Table9[[#This Row],[3]],Table9[[#This Row],[1]:[11]],0))-1)/(COUNTA(Table9[[#This Row],[1]:[11]])-COUNTBLANK(Table9[[#This Row],[1]:[11]])-1)))</f>
        <v/>
      </c>
      <c r="AB20" s="30" t="str" cm="1">
        <f t="array" ref="AB20">IF(Table9[[#This Row],[4]]="","",Table9[[#This Row],[Weight]:[Weight]]-(Table9[[#This Row],[Weight]:[Weight]]*((_xlfn.XMATCH(Table9[[#This Row],[4]],Table9[[#This Row],[1]:[11]],0))-1)/(COUNTA(Table9[[#This Row],[1]:[11]])-COUNTBLANK(Table9[[#This Row],[1]:[11]])-1)))</f>
        <v/>
      </c>
      <c r="AC20" s="30" t="str" cm="1">
        <f t="array" ref="AC20">IF(Table9[[#This Row],[5]]="","",Table9[[#This Row],[Weight]:[Weight]]-(Table9[[#This Row],[Weight]:[Weight]]*((_xlfn.XMATCH(Table9[[#This Row],[5]],Table9[[#This Row],[1]:[11]],0))-1)/(COUNTA(Table9[[#This Row],[1]:[11]])-COUNTBLANK(Table9[[#This Row],[1]:[11]])-1)))</f>
        <v/>
      </c>
      <c r="AD20" s="30" t="str" cm="1">
        <f t="array" ref="AD20">IF(Table9[[#This Row],[6]]="","",Table9[[#This Row],[Weight]:[Weight]]-(Table9[[#This Row],[Weight]:[Weight]]*((_xlfn.XMATCH(Table9[[#This Row],[6]],Table9[[#This Row],[1]:[11]],0))-1)/(COUNTA(Table9[[#This Row],[1]:[11]])-COUNTBLANK(Table9[[#This Row],[1]:[11]])-1)))</f>
        <v/>
      </c>
      <c r="AE20" s="30" t="str" cm="1">
        <f t="array" ref="AE20">IF(Table9[[#This Row],[7]]="","",Table9[[#This Row],[Weight]:[Weight]]-(Table9[[#This Row],[Weight]:[Weight]]*((_xlfn.XMATCH(Table9[[#This Row],[7]],Table9[[#This Row],[1]:[11]],0))-1)/(COUNTA(Table9[[#This Row],[1]:[11]])-COUNTBLANK(Table9[[#This Row],[1]:[11]])-1)))</f>
        <v/>
      </c>
      <c r="AF20" s="30" t="str" cm="1">
        <f t="array" ref="AF20">IF(Table9[[#This Row],[8]]="","",Table9[[#This Row],[Weight]:[Weight]]-(Table9[[#This Row],[Weight]:[Weight]]*((_xlfn.XMATCH(Table9[[#This Row],[8]],Table9[[#This Row],[1]:[11]],0))-1)/(COUNTA(Table9[[#This Row],[1]:[11]])-COUNTBLANK(Table9[[#This Row],[1]:[11]])-1)))</f>
        <v/>
      </c>
      <c r="AG20" s="30" t="str" cm="1">
        <f t="array" ref="AG20">IF(Table9[[#This Row],[9]]="","",Table9[[#This Row],[Weight]:[Weight]]-(Table9[[#This Row],[Weight]:[Weight]]*((_xlfn.XMATCH(Table9[[#This Row],[9]],Table9[[#This Row],[1]:[11]],0))-1)/(COUNTA(Table9[[#This Row],[1]:[11]])-COUNTBLANK(Table9[[#This Row],[1]:[11]])-1)))</f>
        <v/>
      </c>
      <c r="AH20" s="30" t="str" cm="1">
        <f t="array" ref="AH20">IF(Table9[[#This Row],[10]]="","",Table9[[#This Row],[Weight]:[Weight]]-(Table9[[#This Row],[Weight]:[Weight]]*((_xlfn.XMATCH(Table9[[#This Row],[10]],Table9[[#This Row],[1]:[11]],0))-1)/(COUNTA(Table9[[#This Row],[1]:[11]])-COUNTBLANK(Table9[[#This Row],[1]:[11]])-1)))</f>
        <v/>
      </c>
      <c r="AI20" s="30" t="str" cm="1">
        <f t="array" ref="AI20">IF(Table9[[#This Row],[11]]="","",Table9[[#This Row],[Weight]:[Weight]]-(Table9[[#This Row],[Weight]:[Weight]]*((_xlfn.XMATCH(Table9[[#This Row],[11]],Table9[[#This Row],[1]:[11]],0))-1)/(COUNTA(Table9[[#This Row],[1]:[11]])-COUNTBLANK(Table9[[#This Row],[1]:[11]])-1)))</f>
        <v/>
      </c>
    </row>
    <row r="21" spans="1:35" s="6" customFormat="1" ht="48" x14ac:dyDescent="0.2">
      <c r="A21" s="117">
        <v>2</v>
      </c>
      <c r="B21" s="31"/>
      <c r="C21" s="31" t="s">
        <v>59</v>
      </c>
      <c r="D21" s="31"/>
      <c r="E21" s="31"/>
      <c r="F21" s="22" t="s">
        <v>60</v>
      </c>
      <c r="G21" s="23" cm="1">
        <f t="array" ref="G21">_xlfn.IFS(F21="","",F21="No interest",0,F21="Nice to have",1,F21="Useful",2,F21="Important",3,F21="Very important",4,F21="Critical",5,F21="Show stopper",6)</f>
        <v>6</v>
      </c>
      <c r="H21" s="24">
        <f t="shared" si="0"/>
        <v>0.13333333333333333</v>
      </c>
      <c r="I21" s="25" t="s">
        <v>61</v>
      </c>
      <c r="J21" s="25" t="str" cm="1">
        <f t="array" ref="J21">_xlfn.TEXTJOIN(","&amp;CHAR(10),,TEXT(Table9[[#This Row],[12]:[22]],"0,00%"))</f>
        <v>0,13%,
0,09%,
0,04%,
0,00%</v>
      </c>
      <c r="K21" s="26" t="s">
        <v>62</v>
      </c>
      <c r="L21" s="27" t="e">
        <f>H21-(H21*((MATCH(Table24[[#This Row],[Evaluators Response (SELECT)]],Table24[[#This Row],[1]:[11]],0)-1)/(COUNTA(Table24[[#This Row],[1]:[11]])-COUNTBLANK(Table24[[#This Row],[1]:[11]])-1)))</f>
        <v>#VALUE!</v>
      </c>
      <c r="M21" s="28"/>
      <c r="N21" s="41" t="str" cm="1">
        <f t="array" ref="N21">IFERROR(INDEX(_xlfn.UNIQUE(TRIM(_xlfn.TEXTSPLIT(Table9[[#This Row],[Selection Option]:[Selection Option]],","))),,N$18),"")</f>
        <v>abc</v>
      </c>
      <c r="O21" s="41" t="str" cm="1">
        <f t="array" ref="O21">IFERROR(INDEX(_xlfn.UNIQUE(TRIM(_xlfn.TEXTSPLIT(Table9[[#This Row],[Selection Option]:[Selection Option]],","))),,O$18),"")</f>
        <v xml:space="preserve">
klm</v>
      </c>
      <c r="P21" s="41" t="str" cm="1">
        <f t="array" ref="P21">IFERROR(INDEX(_xlfn.UNIQUE(TRIM(_xlfn.TEXTSPLIT(Table9[[#This Row],[Selection Option]:[Selection Option]],","))),,P$18),"")</f>
        <v xml:space="preserve">
pqr</v>
      </c>
      <c r="Q21" s="41" t="str" cm="1">
        <f t="array" ref="Q21">IFERROR(INDEX(_xlfn.UNIQUE(TRIM(_xlfn.TEXTSPLIT(Table9[[#This Row],[Selection Option]:[Selection Option]],","))),,Q$18),"")</f>
        <v xml:space="preserve">
xyz</v>
      </c>
      <c r="R21" s="41" t="str" cm="1">
        <f t="array" ref="R21">IFERROR(INDEX(_xlfn.UNIQUE(TRIM(_xlfn.TEXTSPLIT(Table9[[#This Row],[Selection Option]:[Selection Option]],","))),,R$18),"")</f>
        <v/>
      </c>
      <c r="S21" s="41" t="str" cm="1">
        <f t="array" ref="S21">IFERROR(INDEX(_xlfn.UNIQUE(TRIM(_xlfn.TEXTSPLIT(Table9[[#This Row],[Selection Option]:[Selection Option]],","))),,S$18),"")</f>
        <v/>
      </c>
      <c r="T21" s="41" t="str" cm="1">
        <f t="array" ref="T21">IFERROR(INDEX(_xlfn.UNIQUE(TRIM(_xlfn.TEXTSPLIT(Table9[[#This Row],[Selection Option]:[Selection Option]],","))),,T$18),"")</f>
        <v/>
      </c>
      <c r="U21" s="41" t="str" cm="1">
        <f t="array" ref="U21">IFERROR(INDEX(_xlfn.UNIQUE(TRIM(_xlfn.TEXTSPLIT(Table9[[#This Row],[Selection Option]:[Selection Option]],","))),,U$18),"")</f>
        <v/>
      </c>
      <c r="V21" s="41" t="str" cm="1">
        <f t="array" ref="V21">IFERROR(INDEX(_xlfn.UNIQUE(TRIM(_xlfn.TEXTSPLIT(Table9[[#This Row],[Selection Option]:[Selection Option]],","))),,V$18),"")</f>
        <v/>
      </c>
      <c r="W21" s="41" t="str" cm="1">
        <f t="array" ref="W21">IFERROR(INDEX(_xlfn.UNIQUE(TRIM(_xlfn.TEXTSPLIT(Table9[[#This Row],[Selection Option]:[Selection Option]],","))),,W$18),"")</f>
        <v/>
      </c>
      <c r="X21" s="41" t="str" cm="1">
        <f t="array" ref="X21">IFERROR(INDEX(_xlfn.UNIQUE(TRIM(_xlfn.TEXTSPLIT(Table9[[#This Row],[Selection Option]:[Selection Option]],","))),,X$18),"")</f>
        <v/>
      </c>
      <c r="Y21" s="30" cm="1">
        <f t="array" ref="Y21">IF(Table9[[#This Row],[1]]="","",Table9[[#This Row],[Weight]:[Weight]]-(Table9[[#This Row],[Weight]:[Weight]]*((_xlfn.XMATCH(Table9[[#This Row],[1]],Table9[[#This Row],[1]:[11]],0))-1)/(COUNTA(Table9[[#This Row],[1]:[11]])-COUNTBLANK(Table9[[#This Row],[1]:[11]])-1)))</f>
        <v>0.13333333333333333</v>
      </c>
      <c r="Z21" s="30" cm="1">
        <f t="array" ref="Z21">IF(Table9[[#This Row],[2]]="","",Table9[[#This Row],[Weight]:[Weight]]-(Table9[[#This Row],[Weight]:[Weight]]*((_xlfn.XMATCH(Table9[[#This Row],[2]],Table9[[#This Row],[1]:[11]],0))-1)/(COUNTA(Table9[[#This Row],[1]:[11]])-COUNTBLANK(Table9[[#This Row],[1]:[11]])-1)))</f>
        <v>8.8888888888888878E-2</v>
      </c>
      <c r="AA21" s="30" cm="1">
        <f t="array" ref="AA21">IF(Table9[[#This Row],[3]]="","",Table9[[#This Row],[Weight]:[Weight]]-(Table9[[#This Row],[Weight]:[Weight]]*((_xlfn.XMATCH(Table9[[#This Row],[3]],Table9[[#This Row],[1]:[11]],0))-1)/(COUNTA(Table9[[#This Row],[1]:[11]])-COUNTBLANK(Table9[[#This Row],[1]:[11]])-1)))</f>
        <v>4.4444444444444439E-2</v>
      </c>
      <c r="AB21" s="30" cm="1">
        <f t="array" ref="AB21">IF(Table9[[#This Row],[4]]="","",Table9[[#This Row],[Weight]:[Weight]]-(Table9[[#This Row],[Weight]:[Weight]]*((_xlfn.XMATCH(Table9[[#This Row],[4]],Table9[[#This Row],[1]:[11]],0))-1)/(COUNTA(Table9[[#This Row],[1]:[11]])-COUNTBLANK(Table9[[#This Row],[1]:[11]])-1)))</f>
        <v>0</v>
      </c>
      <c r="AC21" s="30" t="str" cm="1">
        <f t="array" ref="AC21">IF(Table9[[#This Row],[5]]="","",Table9[[#This Row],[Weight]:[Weight]]-(Table9[[#This Row],[Weight]:[Weight]]*((_xlfn.XMATCH(Table9[[#This Row],[5]],Table9[[#This Row],[1]:[11]],0))-1)/(COUNTA(Table9[[#This Row],[1]:[11]])-COUNTBLANK(Table9[[#This Row],[1]:[11]])-1)))</f>
        <v/>
      </c>
      <c r="AD21" s="30" t="str" cm="1">
        <f t="array" ref="AD21">IF(Table9[[#This Row],[6]]="","",Table9[[#This Row],[Weight]:[Weight]]-(Table9[[#This Row],[Weight]:[Weight]]*((_xlfn.XMATCH(Table9[[#This Row],[6]],Table9[[#This Row],[1]:[11]],0))-1)/(COUNTA(Table9[[#This Row],[1]:[11]])-COUNTBLANK(Table9[[#This Row],[1]:[11]])-1)))</f>
        <v/>
      </c>
      <c r="AE21" s="30" t="str" cm="1">
        <f t="array" ref="AE21">IF(Table9[[#This Row],[7]]="","",Table9[[#This Row],[Weight]:[Weight]]-(Table9[[#This Row],[Weight]:[Weight]]*((_xlfn.XMATCH(Table9[[#This Row],[7]],Table9[[#This Row],[1]:[11]],0))-1)/(COUNTA(Table9[[#This Row],[1]:[11]])-COUNTBLANK(Table9[[#This Row],[1]:[11]])-1)))</f>
        <v/>
      </c>
      <c r="AF21" s="30" t="str" cm="1">
        <f t="array" ref="AF21">IF(Table9[[#This Row],[8]]="","",Table9[[#This Row],[Weight]:[Weight]]-(Table9[[#This Row],[Weight]:[Weight]]*((_xlfn.XMATCH(Table9[[#This Row],[8]],Table9[[#This Row],[1]:[11]],0))-1)/(COUNTA(Table9[[#This Row],[1]:[11]])-COUNTBLANK(Table9[[#This Row],[1]:[11]])-1)))</f>
        <v/>
      </c>
      <c r="AG21" s="30" t="str" cm="1">
        <f t="array" ref="AG21">IF(Table9[[#This Row],[9]]="","",Table9[[#This Row],[Weight]:[Weight]]-(Table9[[#This Row],[Weight]:[Weight]]*((_xlfn.XMATCH(Table9[[#This Row],[9]],Table9[[#This Row],[1]:[11]],0))-1)/(COUNTA(Table9[[#This Row],[1]:[11]])-COUNTBLANK(Table9[[#This Row],[1]:[11]])-1)))</f>
        <v/>
      </c>
      <c r="AH21" s="30" t="str" cm="1">
        <f t="array" ref="AH21">IF(Table9[[#This Row],[10]]="","",Table9[[#This Row],[Weight]:[Weight]]-(Table9[[#This Row],[Weight]:[Weight]]*((_xlfn.XMATCH(Table9[[#This Row],[10]],Table9[[#This Row],[1]:[11]],0))-1)/(COUNTA(Table9[[#This Row],[1]:[11]])-COUNTBLANK(Table9[[#This Row],[1]:[11]])-1)))</f>
        <v/>
      </c>
      <c r="AI21" s="30" t="str" cm="1">
        <f t="array" ref="AI21">IF(Table9[[#This Row],[11]]="","",Table9[[#This Row],[Weight]:[Weight]]-(Table9[[#This Row],[Weight]:[Weight]]*((_xlfn.XMATCH(Table9[[#This Row],[11]],Table9[[#This Row],[1]:[11]],0))-1)/(COUNTA(Table9[[#This Row],[1]:[11]])-COUNTBLANK(Table9[[#This Row],[1]:[11]])-1)))</f>
        <v/>
      </c>
    </row>
    <row r="22" spans="1:35" x14ac:dyDescent="0.2">
      <c r="B22" s="64"/>
      <c r="C22" s="64"/>
      <c r="D22" s="64"/>
      <c r="E22" s="64"/>
      <c r="F22" s="64"/>
      <c r="G22" s="64"/>
      <c r="H22" s="64"/>
    </row>
    <row r="24" spans="1:35" ht="20.45" customHeight="1" x14ac:dyDescent="0.2">
      <c r="A24" s="280" t="s">
        <v>63</v>
      </c>
      <c r="B24" s="280"/>
      <c r="C24" s="280"/>
      <c r="D24" s="280"/>
      <c r="E24" s="280"/>
      <c r="F24" s="280"/>
      <c r="G24" s="280"/>
      <c r="H24" s="280"/>
      <c r="I24" s="280"/>
      <c r="J24" s="280"/>
    </row>
    <row r="25" spans="1:35" ht="48" customHeight="1" x14ac:dyDescent="0.25">
      <c r="B25" s="282" t="s">
        <v>64</v>
      </c>
      <c r="C25" s="282"/>
      <c r="D25" s="282"/>
      <c r="E25" s="282"/>
      <c r="F25" s="282"/>
      <c r="G25" s="282"/>
      <c r="H25" s="282"/>
      <c r="I25" s="282"/>
      <c r="J25" s="282"/>
      <c r="K25" s="55"/>
      <c r="L25" s="55"/>
      <c r="M25" s="55"/>
    </row>
  </sheetData>
  <mergeCells count="12">
    <mergeCell ref="A24:J24"/>
    <mergeCell ref="B25:J25"/>
    <mergeCell ref="A9:J9"/>
    <mergeCell ref="A17:A18"/>
    <mergeCell ref="B17:C18"/>
    <mergeCell ref="D17:E18"/>
    <mergeCell ref="B10:J10"/>
    <mergeCell ref="B2:J2"/>
    <mergeCell ref="A3:J3"/>
    <mergeCell ref="B4:J4"/>
    <mergeCell ref="A6:J6"/>
    <mergeCell ref="B7:J7"/>
  </mergeCells>
  <conditionalFormatting sqref="K20:K21">
    <cfRule type="expression" dxfId="14" priority="1">
      <formula>COUNTIF(N20:X20,K20)&lt;&gt;1</formula>
    </cfRule>
  </conditionalFormatting>
  <dataValidations count="4">
    <dataValidation type="list" allowBlank="1" showInputMessage="1" showErrorMessage="1" sqref="M21" xr:uid="{F2B4E195-780F-43B7-A5AA-9058552167C5}">
      <formula1>_xlfn.UNIQUE(TRIM(_xlfn.TEXTSPLIT(#REF!,",")))</formula1>
    </dataValidation>
    <dataValidation type="list" allowBlank="1" showInputMessage="1" showErrorMessage="1" sqref="F20:F21" xr:uid="{D71413C5-87C3-49AC-9DA6-5F6CC78845B9}">
      <formula1>"No interest,Nice to have,Useful,Important,Very important,Critical,Show stopper"</formula1>
    </dataValidation>
    <dataValidation type="list" allowBlank="1" showInputMessage="1" showErrorMessage="1" sqref="H21" xr:uid="{BB942130-B9DD-4CC1-AE81-4288001FDF88}">
      <formula1>N21:R21</formula1>
    </dataValidation>
    <dataValidation type="list" allowBlank="1" showInputMessage="1" showErrorMessage="1" sqref="K20:K21" xr:uid="{4D67F2C3-2F2C-4D76-ACBD-2D35E3CB864F}">
      <formula1>$N20:$X20</formula1>
    </dataValidation>
  </dataValidations>
  <pageMargins left="0.25" right="0.25" top="0.75" bottom="0.75" header="0.3" footer="0.3"/>
  <pageSetup paperSize="9" scale="41" fitToHeight="0" orientation="landscape"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3B9A2-BD9A-426C-9BE9-B1356A814700}">
  <sheetPr>
    <pageSetUpPr fitToPage="1"/>
  </sheetPr>
  <dimension ref="A1:R25"/>
  <sheetViews>
    <sheetView showFormulas="1" zoomScale="80" zoomScaleNormal="150" workbookViewId="0">
      <selection activeCell="C8" sqref="C8:K8"/>
    </sheetView>
  </sheetViews>
  <sheetFormatPr defaultColWidth="9.140625" defaultRowHeight="14.25" x14ac:dyDescent="0.25"/>
  <cols>
    <col min="1" max="1" width="1.5703125" style="68" customWidth="1"/>
    <col min="2" max="2" width="3.5703125" style="68" customWidth="1"/>
    <col min="3" max="3" width="9.5703125" style="69" customWidth="1"/>
    <col min="4" max="4" width="11" style="69" customWidth="1"/>
    <col min="5" max="5" width="11.42578125" style="68" customWidth="1"/>
    <col min="6" max="16384" width="9.140625" style="68"/>
  </cols>
  <sheetData>
    <row r="1" spans="1:11" x14ac:dyDescent="0.25">
      <c r="A1" s="67"/>
    </row>
    <row r="2" spans="1:11" ht="21" customHeight="1" x14ac:dyDescent="0.25">
      <c r="A2" s="67"/>
      <c r="B2" s="292" t="s">
        <v>65</v>
      </c>
      <c r="C2" s="292"/>
      <c r="D2" s="292"/>
      <c r="E2" s="292"/>
      <c r="F2" s="292"/>
      <c r="G2" s="292"/>
      <c r="H2" s="292"/>
      <c r="I2" s="292"/>
      <c r="J2" s="292"/>
      <c r="K2" s="292"/>
    </row>
    <row r="3" spans="1:11" ht="15" x14ac:dyDescent="0.25">
      <c r="A3" s="67"/>
      <c r="B3" s="69"/>
      <c r="C3" s="293"/>
      <c r="D3" s="294"/>
    </row>
    <row r="4" spans="1:11" ht="7.35" customHeight="1" x14ac:dyDescent="0.25">
      <c r="A4" s="67"/>
      <c r="B4" s="293"/>
      <c r="C4" s="293"/>
    </row>
    <row r="5" spans="1:11" s="71" customFormat="1" ht="24" customHeight="1" x14ac:dyDescent="0.25">
      <c r="A5" s="70"/>
      <c r="B5" s="295" t="s">
        <v>66</v>
      </c>
      <c r="C5" s="296"/>
      <c r="D5" s="296"/>
      <c r="E5" s="296"/>
      <c r="F5" s="296"/>
      <c r="G5" s="296"/>
      <c r="H5" s="296"/>
      <c r="I5" s="296"/>
      <c r="J5" s="296"/>
      <c r="K5" s="296"/>
    </row>
    <row r="6" spans="1:11" ht="8.25" customHeight="1" x14ac:dyDescent="0.25">
      <c r="A6" s="67"/>
      <c r="B6" s="72"/>
      <c r="E6" s="73"/>
    </row>
    <row r="7" spans="1:11" ht="14.1" customHeight="1" x14ac:dyDescent="0.25">
      <c r="A7" s="67"/>
      <c r="B7" s="74" t="s">
        <v>67</v>
      </c>
      <c r="C7" s="297" t="s">
        <v>68</v>
      </c>
      <c r="D7" s="297"/>
      <c r="E7" s="297"/>
      <c r="F7" s="297"/>
      <c r="G7" s="297"/>
      <c r="H7" s="297"/>
      <c r="I7" s="297"/>
      <c r="J7" s="297"/>
      <c r="K7" s="297"/>
    </row>
    <row r="8" spans="1:11" ht="14.1" customHeight="1" x14ac:dyDescent="0.25">
      <c r="A8" s="67"/>
      <c r="B8" s="76"/>
      <c r="C8" s="297" t="s">
        <v>69</v>
      </c>
      <c r="D8" s="297"/>
      <c r="E8" s="297"/>
      <c r="F8" s="297"/>
      <c r="G8" s="297"/>
      <c r="H8" s="297"/>
      <c r="I8" s="297"/>
      <c r="J8" s="297"/>
      <c r="K8" s="297"/>
    </row>
    <row r="9" spans="1:11" ht="14.1" hidden="1" customHeight="1" x14ac:dyDescent="0.25">
      <c r="A9" s="67"/>
      <c r="B9" s="77"/>
      <c r="C9" s="75" t="s">
        <v>70</v>
      </c>
      <c r="D9" s="75"/>
      <c r="E9" s="75"/>
      <c r="F9" s="75"/>
      <c r="G9" s="75"/>
      <c r="H9" s="75"/>
      <c r="I9" s="75"/>
      <c r="J9" s="75"/>
      <c r="K9" s="75"/>
    </row>
    <row r="10" spans="1:11" ht="15.75" customHeight="1" x14ac:dyDescent="0.25">
      <c r="A10" s="67"/>
      <c r="B10" s="78"/>
      <c r="C10" s="290" t="s">
        <v>71</v>
      </c>
      <c r="D10" s="291"/>
      <c r="E10" s="291"/>
      <c r="F10" s="291"/>
      <c r="G10" s="291"/>
      <c r="H10" s="291"/>
      <c r="I10" s="291"/>
      <c r="J10" s="291"/>
      <c r="K10" s="291"/>
    </row>
    <row r="11" spans="1:11" ht="15.75" customHeight="1" x14ac:dyDescent="0.25">
      <c r="A11" s="67"/>
      <c r="B11" s="79"/>
      <c r="C11" s="290" t="s">
        <v>72</v>
      </c>
      <c r="D11" s="291"/>
      <c r="E11" s="291"/>
      <c r="F11" s="291"/>
      <c r="G11" s="291"/>
      <c r="H11" s="291"/>
      <c r="I11" s="291"/>
      <c r="J11" s="291"/>
      <c r="K11" s="291"/>
    </row>
    <row r="12" spans="1:11" ht="15.75" customHeight="1" x14ac:dyDescent="0.25">
      <c r="A12" s="67"/>
      <c r="B12" s="80"/>
      <c r="C12" s="290" t="s">
        <v>73</v>
      </c>
      <c r="D12" s="291"/>
      <c r="E12" s="291"/>
      <c r="F12" s="291"/>
      <c r="G12" s="291"/>
      <c r="H12" s="291"/>
      <c r="I12" s="291"/>
      <c r="J12" s="291"/>
      <c r="K12" s="291"/>
    </row>
    <row r="13" spans="1:11" ht="15.75" hidden="1" customHeight="1" x14ac:dyDescent="0.25">
      <c r="A13" s="67"/>
      <c r="B13" s="81"/>
      <c r="C13" s="290" t="s">
        <v>74</v>
      </c>
      <c r="D13" s="291"/>
      <c r="E13" s="291"/>
      <c r="F13" s="291"/>
      <c r="G13" s="291"/>
      <c r="H13" s="291"/>
      <c r="I13" s="291"/>
      <c r="J13" s="291"/>
      <c r="K13" s="291"/>
    </row>
    <row r="14" spans="1:11" ht="15.75" hidden="1" customHeight="1" x14ac:dyDescent="0.25">
      <c r="A14" s="67"/>
      <c r="B14" s="82"/>
      <c r="C14" s="290" t="s">
        <v>75</v>
      </c>
      <c r="D14" s="291"/>
      <c r="E14" s="291"/>
      <c r="F14" s="291"/>
      <c r="G14" s="291"/>
      <c r="H14" s="291"/>
      <c r="I14" s="291"/>
      <c r="J14" s="291"/>
      <c r="K14" s="291"/>
    </row>
    <row r="15" spans="1:11" ht="15.75" customHeight="1" x14ac:dyDescent="0.25">
      <c r="A15" s="67"/>
      <c r="B15" s="83"/>
      <c r="C15" s="290" t="s">
        <v>76</v>
      </c>
      <c r="D15" s="291"/>
      <c r="E15" s="291"/>
      <c r="F15" s="291"/>
      <c r="G15" s="291"/>
      <c r="H15" s="291"/>
      <c r="I15" s="291"/>
      <c r="J15" s="291"/>
      <c r="K15" s="291"/>
    </row>
    <row r="16" spans="1:11" ht="15.75" customHeight="1" x14ac:dyDescent="0.25">
      <c r="A16" s="67"/>
      <c r="B16" s="84"/>
      <c r="C16" s="290" t="s">
        <v>77</v>
      </c>
      <c r="D16" s="291"/>
      <c r="E16" s="291"/>
      <c r="F16" s="291"/>
      <c r="G16" s="291"/>
      <c r="H16" s="291"/>
      <c r="I16" s="291"/>
      <c r="J16" s="291"/>
      <c r="K16" s="291"/>
    </row>
    <row r="17" spans="1:18" ht="7.5" customHeight="1" x14ac:dyDescent="0.25">
      <c r="A17" s="67"/>
      <c r="B17" s="293"/>
      <c r="C17" s="293"/>
    </row>
    <row r="18" spans="1:18" ht="202.35" customHeight="1" x14ac:dyDescent="0.25">
      <c r="A18" s="67"/>
      <c r="B18" s="74" t="s">
        <v>67</v>
      </c>
      <c r="C18" s="293" t="s">
        <v>78</v>
      </c>
      <c r="D18" s="293"/>
      <c r="E18" s="293"/>
      <c r="F18" s="293"/>
      <c r="G18" s="293"/>
      <c r="H18" s="293"/>
      <c r="I18" s="293"/>
      <c r="J18" s="293"/>
      <c r="K18" s="293"/>
    </row>
    <row r="19" spans="1:18" ht="47.1" customHeight="1" x14ac:dyDescent="0.25">
      <c r="A19" s="67"/>
      <c r="B19" s="293"/>
      <c r="C19" s="293"/>
    </row>
    <row r="20" spans="1:18" ht="7.5" customHeight="1" x14ac:dyDescent="0.25">
      <c r="A20" s="67"/>
      <c r="B20" s="293"/>
      <c r="C20" s="293"/>
    </row>
    <row r="21" spans="1:18" s="85" customFormat="1" x14ac:dyDescent="0.25">
      <c r="A21" s="67"/>
      <c r="B21" s="69"/>
      <c r="C21" s="69"/>
      <c r="D21" s="69"/>
      <c r="E21" s="68"/>
      <c r="F21" s="68"/>
      <c r="G21" s="68"/>
      <c r="H21" s="68"/>
      <c r="I21" s="68"/>
      <c r="J21" s="68"/>
      <c r="K21" s="68"/>
      <c r="L21" s="68"/>
      <c r="M21" s="68"/>
      <c r="N21" s="68"/>
      <c r="O21" s="68"/>
      <c r="P21" s="68"/>
      <c r="Q21" s="68"/>
      <c r="R21" s="68"/>
    </row>
    <row r="22" spans="1:18" s="86" customFormat="1" ht="24" customHeight="1" x14ac:dyDescent="0.25">
      <c r="A22" s="70"/>
      <c r="B22" s="295" t="s">
        <v>79</v>
      </c>
      <c r="C22" s="296"/>
      <c r="D22" s="296"/>
      <c r="E22" s="296"/>
      <c r="F22" s="296"/>
      <c r="G22" s="296"/>
      <c r="H22" s="296"/>
      <c r="I22" s="296"/>
      <c r="J22" s="296"/>
      <c r="K22" s="296"/>
      <c r="L22" s="71"/>
      <c r="M22" s="71"/>
      <c r="N22" s="71"/>
      <c r="O22" s="71"/>
      <c r="P22" s="71"/>
      <c r="Q22" s="71"/>
      <c r="R22" s="71"/>
    </row>
    <row r="23" spans="1:18" s="85" customFormat="1" ht="8.25" customHeight="1" x14ac:dyDescent="0.25">
      <c r="A23" s="67"/>
      <c r="B23" s="68"/>
      <c r="C23" s="87"/>
      <c r="D23" s="87"/>
      <c r="E23" s="68"/>
      <c r="F23" s="68"/>
      <c r="G23" s="68"/>
      <c r="H23" s="68"/>
      <c r="I23" s="68"/>
      <c r="J23" s="68"/>
      <c r="K23" s="68"/>
      <c r="L23" s="68"/>
      <c r="M23" s="68"/>
      <c r="N23" s="68"/>
      <c r="O23" s="68"/>
      <c r="P23" s="68"/>
      <c r="Q23" s="68"/>
      <c r="R23" s="68"/>
    </row>
    <row r="24" spans="1:18" s="85" customFormat="1" ht="28.35" customHeight="1" x14ac:dyDescent="0.25">
      <c r="A24" s="67"/>
      <c r="B24" s="88" t="s">
        <v>67</v>
      </c>
      <c r="C24" s="89" t="s">
        <v>80</v>
      </c>
      <c r="D24" s="298" t="s">
        <v>81</v>
      </c>
      <c r="E24" s="298"/>
      <c r="F24" s="298"/>
      <c r="G24" s="298"/>
      <c r="H24" s="298"/>
      <c r="I24" s="298"/>
      <c r="J24" s="298"/>
      <c r="K24" s="298"/>
      <c r="L24" s="68"/>
      <c r="M24" s="68"/>
      <c r="N24" s="68"/>
      <c r="O24" s="68"/>
      <c r="P24" s="68"/>
      <c r="Q24" s="68"/>
      <c r="R24" s="68"/>
    </row>
    <row r="25" spans="1:18" x14ac:dyDescent="0.25">
      <c r="C25" s="87"/>
      <c r="D25" s="87"/>
    </row>
  </sheetData>
  <sheetProtection formatCells="0" formatColumns="0" formatRows="0" insertColumns="0" insertRows="0" insertHyperlinks="0" deleteColumns="0" deleteRows="0" selectLockedCells="1" sort="0" autoFilter="0" pivotTables="0"/>
  <mergeCells count="19">
    <mergeCell ref="D24:K24"/>
    <mergeCell ref="C16:K16"/>
    <mergeCell ref="B17:C17"/>
    <mergeCell ref="C18:K18"/>
    <mergeCell ref="B19:C19"/>
    <mergeCell ref="B20:C20"/>
    <mergeCell ref="B22:K22"/>
    <mergeCell ref="C15:K15"/>
    <mergeCell ref="B2:K2"/>
    <mergeCell ref="C3:D3"/>
    <mergeCell ref="B4:C4"/>
    <mergeCell ref="B5:K5"/>
    <mergeCell ref="C7:K7"/>
    <mergeCell ref="C8:K8"/>
    <mergeCell ref="C10:K10"/>
    <mergeCell ref="C11:K11"/>
    <mergeCell ref="C12:K12"/>
    <mergeCell ref="C13:K13"/>
    <mergeCell ref="C14:K14"/>
  </mergeCells>
  <pageMargins left="0.7" right="0.7" top="0.75" bottom="0.75" header="0.3" footer="0.3"/>
  <pageSetup paperSize="66"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4470-CE60-494E-B8A6-F49826D29521}">
  <sheetPr>
    <tabColor rgb="FF96330F"/>
    <pageSetUpPr fitToPage="1"/>
  </sheetPr>
  <dimension ref="A1:H26"/>
  <sheetViews>
    <sheetView showGridLines="0" tabSelected="1" zoomScaleNormal="100" workbookViewId="0">
      <selection activeCell="E14" sqref="E14"/>
    </sheetView>
  </sheetViews>
  <sheetFormatPr defaultColWidth="13.140625" defaultRowHeight="11.25" x14ac:dyDescent="0.2"/>
  <cols>
    <col min="1" max="1" width="4.28515625" style="49" customWidth="1"/>
    <col min="2" max="2" width="32" style="57" customWidth="1"/>
    <col min="3" max="3" width="33.28515625" style="57" customWidth="1"/>
    <col min="4" max="4" width="35.7109375" style="57" customWidth="1"/>
    <col min="5" max="5" width="32" style="57" customWidth="1"/>
    <col min="6" max="6" width="4.5703125" style="57" customWidth="1"/>
    <col min="7" max="7" width="13.140625" style="52"/>
    <col min="8" max="8" width="13.140625" style="53"/>
    <col min="9" max="16384" width="13.140625" style="52"/>
  </cols>
  <sheetData>
    <row r="1" spans="2:8" ht="14.45" customHeight="1" x14ac:dyDescent="0.25">
      <c r="B1" s="55"/>
      <c r="C1" s="55"/>
      <c r="D1" s="55"/>
      <c r="E1" s="55"/>
      <c r="F1" s="55"/>
      <c r="G1" s="55"/>
      <c r="H1" s="55"/>
    </row>
    <row r="2" spans="2:8" ht="15.6" customHeight="1" x14ac:dyDescent="0.25">
      <c r="B2" s="90" t="s">
        <v>82</v>
      </c>
      <c r="C2" s="91" t="s">
        <v>83</v>
      </c>
      <c r="G2" s="55"/>
      <c r="H2" s="55"/>
    </row>
    <row r="3" spans="2:8" ht="15.6" customHeight="1" x14ac:dyDescent="0.25">
      <c r="B3" s="90" t="s">
        <v>84</v>
      </c>
      <c r="C3" s="91" t="s">
        <v>85</v>
      </c>
      <c r="G3" s="55"/>
      <c r="H3" s="55"/>
    </row>
    <row r="4" spans="2:8" ht="14.45" customHeight="1" x14ac:dyDescent="0.25">
      <c r="B4" s="90" t="s">
        <v>86</v>
      </c>
      <c r="C4" s="93" t="s">
        <v>87</v>
      </c>
      <c r="F4" s="55"/>
      <c r="G4" s="55"/>
      <c r="H4" s="55"/>
    </row>
    <row r="5" spans="2:8" ht="14.45" customHeight="1" x14ac:dyDescent="0.25">
      <c r="B5" s="90" t="s">
        <v>88</v>
      </c>
      <c r="C5" s="93" t="s">
        <v>87</v>
      </c>
      <c r="D5" s="92" t="s">
        <v>89</v>
      </c>
      <c r="E5" s="92"/>
      <c r="F5" s="55"/>
      <c r="G5" s="55"/>
      <c r="H5" s="55"/>
    </row>
    <row r="6" spans="2:8" ht="14.45" customHeight="1" x14ac:dyDescent="0.25">
      <c r="B6" s="90" t="s">
        <v>90</v>
      </c>
      <c r="C6" s="93" t="s">
        <v>87</v>
      </c>
      <c r="D6" s="92" t="s">
        <v>3</v>
      </c>
      <c r="E6" s="92"/>
      <c r="F6" s="55"/>
      <c r="G6" s="55"/>
      <c r="H6" s="55"/>
    </row>
    <row r="7" spans="2:8" ht="32.450000000000003" customHeight="1" x14ac:dyDescent="0.25">
      <c r="B7" s="90" t="s">
        <v>91</v>
      </c>
      <c r="C7" s="93"/>
      <c r="D7" s="92" t="s">
        <v>92</v>
      </c>
      <c r="E7" s="115"/>
      <c r="F7" s="55"/>
      <c r="G7" s="55"/>
      <c r="H7" s="55"/>
    </row>
    <row r="8" spans="2:8" ht="12" customHeight="1" thickBot="1" x14ac:dyDescent="0.25"/>
    <row r="9" spans="2:8" ht="14.25" x14ac:dyDescent="0.2">
      <c r="B9" s="299" t="s">
        <v>93</v>
      </c>
      <c r="C9" s="301" t="s">
        <v>94</v>
      </c>
      <c r="D9" s="302"/>
      <c r="E9" s="182" t="b">
        <v>0</v>
      </c>
    </row>
    <row r="10" spans="2:8" ht="12" customHeight="1" thickBot="1" x14ac:dyDescent="0.25">
      <c r="B10" s="300"/>
      <c r="C10" s="94" t="str">
        <f>IF(AND(E9,'Gatekeepers remove'!F8=1),"Pass","")</f>
        <v/>
      </c>
      <c r="D10" s="94" t="str">
        <f>IF(AND(E9,'Gatekeepers remove'!F8&lt;&gt;1),"Fail ("&amp;TEXT('Gatekeepers remove'!F8,"0,0%")&amp;")","")</f>
        <v/>
      </c>
      <c r="E10" s="169" t="str">
        <f>IF(AND(E9,SUM(COUNTIF(Table1[Scoring],"Pass"),COUNTIF(Table1[Scoring],"Fail"))&lt;&gt;(COUNTA(Table1[Scoring])+COUNTBLANK(Table1[Scoring]))),"Incomplete response","")</f>
        <v/>
      </c>
    </row>
    <row r="11" spans="2:8" ht="12" customHeight="1" thickBot="1" x14ac:dyDescent="0.25"/>
    <row r="12" spans="2:8" ht="16.5" thickBot="1" x14ac:dyDescent="0.25">
      <c r="B12" s="95" t="s">
        <v>95</v>
      </c>
      <c r="C12" s="96"/>
      <c r="D12" s="96"/>
      <c r="E12" s="97"/>
    </row>
    <row r="13" spans="2:8" ht="16.5" thickBot="1" x14ac:dyDescent="0.25">
      <c r="B13" s="145" t="s">
        <v>96</v>
      </c>
      <c r="C13" s="146" t="s">
        <v>25</v>
      </c>
      <c r="D13" s="163" t="s">
        <v>97</v>
      </c>
      <c r="E13" s="147" t="s">
        <v>29</v>
      </c>
    </row>
    <row r="14" spans="2:8" ht="15.75" x14ac:dyDescent="0.2">
      <c r="B14" s="137" t="s">
        <v>71</v>
      </c>
      <c r="C14" s="160">
        <v>0.25</v>
      </c>
      <c r="D14" s="164"/>
      <c r="E14" s="152">
        <f>'Key Requirements'!L11</f>
        <v>0.25</v>
      </c>
    </row>
    <row r="15" spans="2:8" ht="15.75" x14ac:dyDescent="0.2">
      <c r="B15" s="98" t="s">
        <v>72</v>
      </c>
      <c r="C15" s="161">
        <v>0.4</v>
      </c>
      <c r="D15" s="165"/>
      <c r="E15" s="148">
        <f>Functional!L21</f>
        <v>0.39999999999999991</v>
      </c>
    </row>
    <row r="16" spans="2:8" ht="15.75" x14ac:dyDescent="0.2">
      <c r="B16" s="98" t="s">
        <v>73</v>
      </c>
      <c r="C16" s="161">
        <v>0.15</v>
      </c>
      <c r="D16" s="165"/>
      <c r="E16" s="148">
        <f>'Non-Functional'!L11</f>
        <v>0.14999999999999997</v>
      </c>
    </row>
    <row r="17" spans="2:5" ht="15.75" hidden="1" x14ac:dyDescent="0.2">
      <c r="B17" s="99" t="s">
        <v>98</v>
      </c>
      <c r="C17" s="161"/>
      <c r="D17" s="165"/>
      <c r="E17" s="148">
        <f>Cloud!L11</f>
        <v>0</v>
      </c>
    </row>
    <row r="18" spans="2:5" ht="15.75" hidden="1" x14ac:dyDescent="0.2">
      <c r="B18" s="99" t="s">
        <v>74</v>
      </c>
      <c r="C18" s="161"/>
      <c r="D18" s="165"/>
      <c r="E18" s="148">
        <f>'Integration remove'!L11</f>
        <v>0</v>
      </c>
    </row>
    <row r="19" spans="2:5" ht="15.75" hidden="1" x14ac:dyDescent="0.2">
      <c r="B19" s="99" t="s">
        <v>75</v>
      </c>
      <c r="C19" s="161"/>
      <c r="D19" s="165"/>
      <c r="E19" s="148">
        <f>'Testing remove'!L11</f>
        <v>0</v>
      </c>
    </row>
    <row r="20" spans="2:5" ht="16.5" thickBot="1" x14ac:dyDescent="0.25">
      <c r="B20" s="138" t="s">
        <v>76</v>
      </c>
      <c r="C20" s="162">
        <v>0.2</v>
      </c>
      <c r="D20" s="166"/>
      <c r="E20" s="153">
        <f>Security!L11</f>
        <v>0.19999999999999987</v>
      </c>
    </row>
    <row r="21" spans="2:5" ht="16.5" thickBot="1" x14ac:dyDescent="0.25">
      <c r="B21" s="149" t="s">
        <v>99</v>
      </c>
      <c r="C21" s="150">
        <f>SUM(C14:C20)</f>
        <v>1</v>
      </c>
      <c r="D21" s="167">
        <v>0.7</v>
      </c>
      <c r="E21" s="151">
        <f>SUM(E14:E20)</f>
        <v>0.99999999999999967</v>
      </c>
    </row>
    <row r="22" spans="2:5" ht="12.75" thickTop="1" thickBot="1" x14ac:dyDescent="0.25">
      <c r="B22" s="100"/>
      <c r="E22" s="101"/>
    </row>
    <row r="23" spans="2:5" ht="16.5" thickBot="1" x14ac:dyDescent="0.25">
      <c r="B23" s="95" t="s">
        <v>100</v>
      </c>
      <c r="C23" s="96"/>
      <c r="D23" s="96"/>
      <c r="E23" s="97"/>
    </row>
    <row r="24" spans="2:5" ht="16.5" thickBot="1" x14ac:dyDescent="0.25">
      <c r="B24" s="154" t="s">
        <v>77</v>
      </c>
      <c r="C24" s="155" t="s">
        <v>25</v>
      </c>
      <c r="D24" s="156" t="s">
        <v>97</v>
      </c>
      <c r="E24" s="157" t="s">
        <v>29</v>
      </c>
    </row>
    <row r="25" spans="2:5" ht="16.5" thickBot="1" x14ac:dyDescent="0.3">
      <c r="B25" s="158" t="s">
        <v>77</v>
      </c>
      <c r="C25" s="159">
        <v>1</v>
      </c>
      <c r="D25" s="168">
        <v>0.8</v>
      </c>
      <c r="E25" s="151">
        <f>Demo!J12</f>
        <v>0</v>
      </c>
    </row>
    <row r="26" spans="2:5" ht="12" thickTop="1" x14ac:dyDescent="0.2"/>
  </sheetData>
  <mergeCells count="2">
    <mergeCell ref="B9:B10"/>
    <mergeCell ref="C9:D9"/>
  </mergeCells>
  <conditionalFormatting sqref="C10">
    <cfRule type="cellIs" dxfId="13" priority="11" operator="equal">
      <formula>"Pass"</formula>
    </cfRule>
  </conditionalFormatting>
  <conditionalFormatting sqref="C21">
    <cfRule type="cellIs" dxfId="12" priority="6" operator="notEqual">
      <formula>1</formula>
    </cfRule>
  </conditionalFormatting>
  <conditionalFormatting sqref="D10">
    <cfRule type="containsText" dxfId="11" priority="10" operator="containsText" text="Fail">
      <formula>NOT(ISERROR(SEARCH("Fail",D10)))</formula>
    </cfRule>
  </conditionalFormatting>
  <conditionalFormatting sqref="E10">
    <cfRule type="expression" dxfId="10" priority="2">
      <formula>E10="Incomplete response"</formula>
    </cfRule>
  </conditionalFormatting>
  <conditionalFormatting sqref="E14:E21">
    <cfRule type="expression" dxfId="9" priority="3">
      <formula>AND(ISNUMBER(D14),(E14/C14)&lt;D14)</formula>
    </cfRule>
  </conditionalFormatting>
  <conditionalFormatting sqref="E25">
    <cfRule type="expression" dxfId="8" priority="1">
      <formula>AND(ISNUMBER(D25),(E25/C25)&lt;D25)</formula>
    </cfRule>
  </conditionalFormatting>
  <pageMargins left="0.25" right="0.25" top="0.75" bottom="0.75" header="0.3" footer="0.3"/>
  <pageSetup paperSize="9"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BEAB8-52A3-4C4E-9E20-C573E6D7816A}">
  <sheetPr>
    <tabColor rgb="FF6666FF"/>
    <pageSetUpPr fitToPage="1"/>
  </sheetPr>
  <dimension ref="A2:AI15"/>
  <sheetViews>
    <sheetView zoomScaleNormal="100" workbookViewId="0">
      <pane xSplit="1" ySplit="11" topLeftCell="B12" activePane="bottomRight" state="frozen"/>
      <selection pane="topRight" activeCell="C7" sqref="C7"/>
      <selection pane="bottomLeft" activeCell="C7" sqref="C7"/>
      <selection pane="bottomRight" activeCell="A13" sqref="A13"/>
    </sheetView>
  </sheetViews>
  <sheetFormatPr defaultColWidth="5.5703125" defaultRowHeight="12" x14ac:dyDescent="0.2"/>
  <cols>
    <col min="1" max="1" width="6.28515625" style="6" customWidth="1"/>
    <col min="2" max="3" width="52.570312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36" style="6" customWidth="1"/>
    <col min="10" max="10" width="8" style="6" customWidth="1"/>
    <col min="11" max="11" width="15.85546875" style="6" customWidth="1"/>
    <col min="12" max="12" width="7.85546875" style="45" bestFit="1" customWidth="1"/>
    <col min="13" max="13" width="19.7109375" style="6" bestFit="1" customWidth="1"/>
    <col min="14" max="14" width="6.5703125" style="46" hidden="1" customWidth="1"/>
    <col min="15" max="24" width="6.42578125" style="46" hidden="1" customWidth="1"/>
    <col min="25" max="25" width="8" style="6" hidden="1" customWidth="1"/>
    <col min="26" max="26" width="7.28515625" style="6" hidden="1" customWidth="1"/>
    <col min="27" max="32" width="6.140625" style="6" hidden="1" customWidth="1"/>
    <col min="33" max="35" width="5.5703125" style="6" hidden="1" customWidth="1"/>
    <col min="36" max="16384" width="5.5703125" style="6"/>
  </cols>
  <sheetData>
    <row r="2" spans="1:35" ht="15" customHeight="1" x14ac:dyDescent="0.25">
      <c r="B2" s="90" t="s">
        <v>82</v>
      </c>
      <c r="C2" s="91" t="s">
        <v>83</v>
      </c>
      <c r="E2" s="303" t="s">
        <v>101</v>
      </c>
      <c r="F2" s="304"/>
    </row>
    <row r="3" spans="1:35" ht="15.75" customHeight="1" x14ac:dyDescent="0.25">
      <c r="B3" s="90" t="s">
        <v>84</v>
      </c>
      <c r="C3" s="91" t="s">
        <v>85</v>
      </c>
      <c r="E3" s="305"/>
      <c r="F3" s="306"/>
    </row>
    <row r="4" spans="1:35" ht="15.75" customHeight="1" x14ac:dyDescent="0.25">
      <c r="B4" s="90" t="s">
        <v>86</v>
      </c>
      <c r="C4" s="93" t="s">
        <v>87</v>
      </c>
      <c r="E4" s="170" t="s">
        <v>71</v>
      </c>
      <c r="F4" s="171"/>
    </row>
    <row r="5" spans="1:35" ht="15" customHeight="1" x14ac:dyDescent="0.25">
      <c r="B5" s="90" t="s">
        <v>88</v>
      </c>
      <c r="C5" s="93" t="s">
        <v>87</v>
      </c>
      <c r="E5" s="172"/>
      <c r="F5" s="173"/>
    </row>
    <row r="6" spans="1:35" ht="15.75" x14ac:dyDescent="0.25">
      <c r="B6" s="90" t="s">
        <v>90</v>
      </c>
      <c r="C6" s="93" t="s">
        <v>87</v>
      </c>
      <c r="E6" s="55"/>
      <c r="F6" s="55"/>
    </row>
    <row r="7" spans="1:35" ht="42.75" customHeight="1" x14ac:dyDescent="0.25">
      <c r="B7" s="90" t="s">
        <v>91</v>
      </c>
      <c r="C7" s="93"/>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Summary'!C14</f>
        <v>0.25</v>
      </c>
      <c r="G11" s="48">
        <f>SUM(Table24[Priority])</f>
        <v>13</v>
      </c>
      <c r="H11" s="8">
        <f>SUM(Table24[Weight])</f>
        <v>0.25</v>
      </c>
      <c r="I11" s="7"/>
      <c r="J11" s="7"/>
      <c r="K11" s="9" t="s">
        <v>17</v>
      </c>
      <c r="L11" s="8">
        <f>SUM(Table24[Score])</f>
        <v>0.25</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11" t="s">
        <v>102</v>
      </c>
      <c r="B12" s="12" t="s">
        <v>19</v>
      </c>
      <c r="C12" s="13" t="s">
        <v>103</v>
      </c>
      <c r="D12" s="14" t="s">
        <v>21</v>
      </c>
      <c r="E12" s="14" t="s">
        <v>22</v>
      </c>
      <c r="F12" s="15" t="s">
        <v>23</v>
      </c>
      <c r="G12" s="16" t="s">
        <v>24</v>
      </c>
      <c r="H12" s="16" t="s">
        <v>25</v>
      </c>
      <c r="I12" s="15" t="s">
        <v>26</v>
      </c>
      <c r="J12" s="16" t="s">
        <v>27</v>
      </c>
      <c r="K12" s="15" t="s">
        <v>28</v>
      </c>
      <c r="L12" s="17" t="s">
        <v>29</v>
      </c>
      <c r="M12" s="15" t="s">
        <v>30</v>
      </c>
      <c r="N12" s="18" t="s">
        <v>31</v>
      </c>
      <c r="O12" s="18" t="s">
        <v>32</v>
      </c>
      <c r="P12" s="18" t="s">
        <v>33</v>
      </c>
      <c r="Q12" s="18" t="s">
        <v>34</v>
      </c>
      <c r="R12" s="18" t="s">
        <v>35</v>
      </c>
      <c r="S12" s="18" t="s">
        <v>36</v>
      </c>
      <c r="T12" s="18" t="s">
        <v>37</v>
      </c>
      <c r="U12" s="18" t="s">
        <v>38</v>
      </c>
      <c r="V12" s="18" t="s">
        <v>39</v>
      </c>
      <c r="W12" s="18" t="s">
        <v>40</v>
      </c>
      <c r="X12" s="18" t="s">
        <v>41</v>
      </c>
      <c r="Y12" s="19" t="s">
        <v>42</v>
      </c>
      <c r="Z12" s="19" t="s">
        <v>43</v>
      </c>
      <c r="AA12" s="19" t="s">
        <v>44</v>
      </c>
      <c r="AB12" s="19" t="s">
        <v>45</v>
      </c>
      <c r="AC12" s="19" t="s">
        <v>46</v>
      </c>
      <c r="AD12" s="19" t="s">
        <v>47</v>
      </c>
      <c r="AE12" s="19" t="s">
        <v>48</v>
      </c>
      <c r="AF12" s="19" t="s">
        <v>49</v>
      </c>
      <c r="AG12" s="19" t="s">
        <v>50</v>
      </c>
      <c r="AH12" s="19" t="s">
        <v>51</v>
      </c>
      <c r="AI12" s="19" t="s">
        <v>52</v>
      </c>
    </row>
    <row r="13" spans="1:35" ht="48" x14ac:dyDescent="0.2">
      <c r="A13" s="20">
        <v>1</v>
      </c>
      <c r="B13" s="194" t="s">
        <v>104</v>
      </c>
      <c r="C13" s="194" t="s">
        <v>105</v>
      </c>
      <c r="D13" s="105"/>
      <c r="E13" s="106" t="s">
        <v>55</v>
      </c>
      <c r="F13" s="22" t="s">
        <v>106</v>
      </c>
      <c r="G13" s="23" cm="1">
        <f t="array" ref="G13">_xlfn.IFS(F13="","",F13="No interest",0,F13="Nice to have",1,F13="Useful",2,F13="Important",3,F13="Very important",4,F13="Critical",5,F13="Show stopper",6)</f>
        <v>5</v>
      </c>
      <c r="H13" s="24">
        <f t="shared" ref="H13:H14" si="0">(G13/$G$11)*$F$11</f>
        <v>9.6153846153846159E-2</v>
      </c>
      <c r="I13" s="25" t="s">
        <v>107</v>
      </c>
      <c r="J13" s="25" t="str" cm="1">
        <f t="array" ref="J13">_xlfn.TEXTJOIN(" "&amp;CHAR(10),,TEXT(SUBSTITUTE(Table24[[#This Row],[12]:[22]],".",","),"0,00%"))</f>
        <v>0,0961538461538462 
0,00%</v>
      </c>
      <c r="K13" s="26" t="s">
        <v>108</v>
      </c>
      <c r="L13" s="27">
        <f>H13-(H13*((MATCH(Table24[[#This Row],[Evaluators Response (SELECT)]],Table24[[#This Row],[1]:[11]],0)-1)/(COUNTA(Table24[[#This Row],[1]:[11]])-COUNTBLANK(Table24[[#This Row],[1]:[11]])-1)))</f>
        <v>9.6153846153846159E-2</v>
      </c>
      <c r="M13" s="28"/>
      <c r="N13" s="29" t="str" cm="1">
        <f t="array" ref="N13">IFERROR(INDEX(_xlfn.UNIQUE(TRIM(_xlfn.TEXTSPLIT(Table24[[#This Row],[Selection Option]:[Selection Option]],","))),,N$11),"")</f>
        <v>1. Fully compliant</v>
      </c>
      <c r="O13" s="29" t="str" cm="1">
        <f t="array" ref="O13">IFERROR(INDEX(_xlfn.UNIQUE(TRIM(_xlfn.TEXTSPLIT(Table24[[#This Row],[Selection Option]:[Selection Option]],","))),,O$11),"")</f>
        <v xml:space="preserve">
2. Not compliant</v>
      </c>
      <c r="P13" s="29" t="str" cm="1">
        <f t="array" ref="P13">IFERROR(INDEX(_xlfn.UNIQUE(TRIM(_xlfn.TEXTSPLIT(Table24[[#This Row],[Selection Option]:[Selection Option]],","))),,P$11),"")</f>
        <v/>
      </c>
      <c r="Q13" s="29" t="str" cm="1">
        <f t="array" ref="Q13">IFERROR(INDEX(_xlfn.UNIQUE(TRIM(_xlfn.TEXTSPLIT(Table24[[#This Row],[Selection Option]:[Selection Option]],","))),,Q$11),"")</f>
        <v/>
      </c>
      <c r="R13" s="29" t="str" cm="1">
        <f t="array" ref="R13">IFERROR(INDEX(_xlfn.UNIQUE(TRIM(_xlfn.TEXTSPLIT(Table24[[#This Row],[Selection Option]:[Selection Option]],","))),,R$11),"")</f>
        <v/>
      </c>
      <c r="S13" s="29" t="str" cm="1">
        <f t="array" ref="S13">IFERROR(INDEX(_xlfn.UNIQUE(TRIM(_xlfn.TEXTSPLIT(Table24[[#This Row],[Selection Option]:[Selection Option]],","))),,S$11),"")</f>
        <v/>
      </c>
      <c r="T13" s="29" t="str" cm="1">
        <f t="array" ref="T13">IFERROR(INDEX(_xlfn.UNIQUE(TRIM(_xlfn.TEXTSPLIT(Table24[[#This Row],[Selection Option]:[Selection Option]],","))),,T$11),"")</f>
        <v/>
      </c>
      <c r="U13" s="29" t="str" cm="1">
        <f t="array" ref="U13">IFERROR(INDEX(_xlfn.UNIQUE(TRIM(_xlfn.TEXTSPLIT(Table24[[#This Row],[Selection Option]:[Selection Option]],","))),,U$11),"")</f>
        <v/>
      </c>
      <c r="V13" s="29" t="str" cm="1">
        <f t="array" ref="V13">IFERROR(INDEX(_xlfn.UNIQUE(TRIM(_xlfn.TEXTSPLIT(Table24[[#This Row],[Selection Option]:[Selection Option]],","))),,V$11),"")</f>
        <v/>
      </c>
      <c r="W13" s="29" t="str" cm="1">
        <f t="array" ref="W13">IFERROR(INDEX(_xlfn.UNIQUE(TRIM(_xlfn.TEXTSPLIT(Table24[[#This Row],[Selection Option]:[Selection Option]],","))),,W$11),"")</f>
        <v/>
      </c>
      <c r="X13" s="29" t="str" cm="1">
        <f t="array" ref="X13">IFERROR(INDEX(_xlfn.UNIQUE(TRIM(_xlfn.TEXTSPLIT(Table24[[#This Row],[Selection Option]:[Selection Option]],","))),,X$11),"")</f>
        <v/>
      </c>
      <c r="Y13" s="30" cm="1">
        <f t="array" ref="Y13">IF(Table24[[#This Row],[1]]="","",Table24[[#This Row],[Weight]:[Weight]]-(Table24[[#This Row],[Weight]:[Weight]]*((_xlfn.XMATCH(Table24[[#This Row],[1]],Table24[[#This Row],[1]:[11]],0))-1)/(COUNTA(Table24[[#This Row],[1]:[11]])-COUNTBLANK(Table24[[#This Row],[1]:[11]])-1)))</f>
        <v>9.6153846153846159E-2</v>
      </c>
      <c r="Z13" s="30" cm="1">
        <f t="array" ref="Z13">IF(Table24[[#This Row],[2]]="","",Table24[[#This Row],[Weight]:[Weight]]-(Table24[[#This Row],[Weight]:[Weight]]*((_xlfn.XMATCH(Table24[[#This Row],[2]],Table24[[#This Row],[1]:[11]],0))-1)/(COUNTA(Table24[[#This Row],[1]:[11]])-COUNTBLANK(Table24[[#This Row],[1]:[11]])-1)))</f>
        <v>0</v>
      </c>
      <c r="AA13" s="30" t="str" cm="1">
        <f t="array" ref="AA13">IF(Table24[[#This Row],[3]]="","",Table24[[#This Row],[Weight]:[Weight]]-(Table24[[#This Row],[Weight]:[Weight]]*((_xlfn.XMATCH(Table24[[#This Row],[3]],Table24[[#This Row],[1]:[11]],0))-1)/(COUNTA(Table24[[#This Row],[1]:[11]])-COUNTBLANK(Table24[[#This Row],[1]:[11]])-1)))</f>
        <v/>
      </c>
      <c r="AB13" s="30" t="str" cm="1">
        <f t="array" ref="AB13">IF(Table24[[#This Row],[4]]="","",Table24[[#This Row],[Weight]:[Weight]]-(Table24[[#This Row],[Weight]:[Weight]]*((_xlfn.XMATCH(Table24[[#This Row],[4]],Table24[[#This Row],[1]:[11]],0))-1)/(COUNTA(Table24[[#This Row],[1]:[11]])-COUNTBLANK(Table24[[#This Row],[1]:[11]])-1)))</f>
        <v/>
      </c>
      <c r="AC13" s="30" t="str" cm="1">
        <f t="array" ref="AC13">IF(Table24[[#This Row],[5]]="","",Table24[[#This Row],[Weight]:[Weight]]-(Table24[[#This Row],[Weight]:[Weight]]*((_xlfn.XMATCH(Table24[[#This Row],[5]],Table24[[#This Row],[1]:[11]],0))-1)/(COUNTA(Table24[[#This Row],[1]:[11]])-COUNTBLANK(Table24[[#This Row],[1]:[11]])-1)))</f>
        <v/>
      </c>
      <c r="AD13" s="30" t="str" cm="1">
        <f t="array" ref="AD13">IF(Table24[[#This Row],[6]]="","",Table24[[#This Row],[Weight]:[Weight]]-(Table24[[#This Row],[Weight]:[Weight]]*((_xlfn.XMATCH(Table24[[#This Row],[6]],Table24[[#This Row],[1]:[11]],0))-1)/(COUNTA(Table24[[#This Row],[1]:[11]])-COUNTBLANK(Table24[[#This Row],[1]:[11]])-1)))</f>
        <v/>
      </c>
      <c r="AE13" s="30" t="str" cm="1">
        <f t="array" ref="AE13">IF(Table24[[#This Row],[7]]="","",Table24[[#This Row],[Weight]:[Weight]]-(Table24[[#This Row],[Weight]:[Weight]]*((_xlfn.XMATCH(Table24[[#This Row],[7]],Table24[[#This Row],[1]:[11]],0))-1)/(COUNTA(Table24[[#This Row],[1]:[11]])-COUNTBLANK(Table24[[#This Row],[1]:[11]])-1)))</f>
        <v/>
      </c>
      <c r="AF13" s="30" t="str" cm="1">
        <f t="array" ref="AF13">IF(Table24[[#This Row],[8]]="","",Table24[[#This Row],[Weight]:[Weight]]-(Table24[[#This Row],[Weight]:[Weight]]*((_xlfn.XMATCH(Table24[[#This Row],[8]],Table24[[#This Row],[1]:[11]],0))-1)/(COUNTA(Table24[[#This Row],[1]:[11]])-COUNTBLANK(Table24[[#This Row],[1]:[11]])-1)))</f>
        <v/>
      </c>
      <c r="AG13" s="30" t="str" cm="1">
        <f t="array" ref="AG13">IF(Table24[[#This Row],[9]]="","",Table24[[#This Row],[Weight]:[Weight]]-(Table24[[#This Row],[Weight]:[Weight]]*((_xlfn.XMATCH(Table24[[#This Row],[9]],Table24[[#This Row],[1]:[11]],0))-1)/(COUNTA(Table24[[#This Row],[1]:[11]])-COUNTBLANK(Table24[[#This Row],[1]:[11]])-1)))</f>
        <v/>
      </c>
      <c r="AH13" s="30" t="str" cm="1">
        <f t="array" ref="AH13">IF(Table24[[#This Row],[10]]="","",Table24[[#This Row],[Weight]:[Weight]]-(Table24[[#This Row],[Weight]:[Weight]]*((_xlfn.XMATCH(Table24[[#This Row],[10]],Table24[[#This Row],[1]:[11]],0))-1)/(COUNTA(Table24[[#This Row],[1]:[11]])-COUNTBLANK(Table24[[#This Row],[1]:[11]])-1)))</f>
        <v/>
      </c>
      <c r="AI13" s="30" t="str" cm="1">
        <f t="array" ref="AI13">IF(Table24[[#This Row],[11]]="","",Table24[[#This Row],[Weight]:[Weight]]-(Table24[[#This Row],[Weight]:[Weight]]*((_xlfn.XMATCH(Table24[[#This Row],[11]],Table24[[#This Row],[1]:[11]],0))-1)/(COUNTA(Table24[[#This Row],[1]:[11]])-COUNTBLANK(Table24[[#This Row],[1]:[11]])-1)))</f>
        <v/>
      </c>
    </row>
    <row r="14" spans="1:35" ht="146.25" customHeight="1" x14ac:dyDescent="0.2">
      <c r="A14" s="20">
        <v>2</v>
      </c>
      <c r="B14" s="194" t="s">
        <v>109</v>
      </c>
      <c r="C14" s="194" t="s">
        <v>110</v>
      </c>
      <c r="D14" s="106"/>
      <c r="E14" s="106" t="s">
        <v>55</v>
      </c>
      <c r="F14" s="22" t="s">
        <v>106</v>
      </c>
      <c r="G14" s="23" cm="1">
        <f t="array" ref="G14">_xlfn.IFS(F14="","",F14="No interest",0,F14="Nice to have",1,F14="Useful",2,F14="Important",3,F14="Very important",4,F14="Critical",5,F14="Show stopper",6)</f>
        <v>5</v>
      </c>
      <c r="H14" s="24">
        <f t="shared" si="0"/>
        <v>9.6153846153846159E-2</v>
      </c>
      <c r="I14" s="25" t="s">
        <v>107</v>
      </c>
      <c r="J14" s="25" t="str" cm="1">
        <f t="array" ref="J14">_xlfn.TEXTJOIN(" "&amp;CHAR(10),,TEXT(SUBSTITUTE(Table24[[#This Row],[12]:[22]],".",","),"0,00%"))</f>
        <v>0,0961538461538462 
0,00%</v>
      </c>
      <c r="K14" s="26" t="s">
        <v>108</v>
      </c>
      <c r="L14" s="27">
        <f>H14-(H14*((MATCH(Table24[[#This Row],[Evaluators Response (SELECT)]],Table24[[#This Row],[1]:[11]],0)-1)/(COUNTA(Table24[[#This Row],[1]:[11]])-COUNTBLANK(Table24[[#This Row],[1]:[11]])-1)))</f>
        <v>9.6153846153846159E-2</v>
      </c>
      <c r="M14" s="28"/>
      <c r="N14" s="29" t="str" cm="1">
        <f t="array" ref="N14">IFERROR(INDEX(_xlfn.UNIQUE(TRIM(_xlfn.TEXTSPLIT(Table24[[#This Row],[Selection Option]:[Selection Option]],","))),,N$11),"")</f>
        <v>1. Fully compliant</v>
      </c>
      <c r="O14" s="29" t="str" cm="1">
        <f t="array" ref="O14">IFERROR(INDEX(_xlfn.UNIQUE(TRIM(_xlfn.TEXTSPLIT(Table24[[#This Row],[Selection Option]:[Selection Option]],","))),,O$11),"")</f>
        <v xml:space="preserve">
2. Not compliant</v>
      </c>
      <c r="P14" s="29" t="str" cm="1">
        <f t="array" ref="P14">IFERROR(INDEX(_xlfn.UNIQUE(TRIM(_xlfn.TEXTSPLIT(Table24[[#This Row],[Selection Option]:[Selection Option]],","))),,P$11),"")</f>
        <v/>
      </c>
      <c r="Q14" s="29" t="str" cm="1">
        <f t="array" ref="Q14">IFERROR(INDEX(_xlfn.UNIQUE(TRIM(_xlfn.TEXTSPLIT(Table24[[#This Row],[Selection Option]:[Selection Option]],","))),,Q$11),"")</f>
        <v/>
      </c>
      <c r="R14" s="29" t="str" cm="1">
        <f t="array" ref="R14">IFERROR(INDEX(_xlfn.UNIQUE(TRIM(_xlfn.TEXTSPLIT(Table24[[#This Row],[Selection Option]:[Selection Option]],","))),,R$11),"")</f>
        <v/>
      </c>
      <c r="S14" s="29" t="str" cm="1">
        <f t="array" ref="S14">IFERROR(INDEX(_xlfn.UNIQUE(TRIM(_xlfn.TEXTSPLIT(Table24[[#This Row],[Selection Option]:[Selection Option]],","))),,S$11),"")</f>
        <v/>
      </c>
      <c r="T14" s="29" t="str" cm="1">
        <f t="array" ref="T14">IFERROR(INDEX(_xlfn.UNIQUE(TRIM(_xlfn.TEXTSPLIT(Table24[[#This Row],[Selection Option]:[Selection Option]],","))),,T$11),"")</f>
        <v/>
      </c>
      <c r="U14" s="29" t="str" cm="1">
        <f t="array" ref="U14">IFERROR(INDEX(_xlfn.UNIQUE(TRIM(_xlfn.TEXTSPLIT(Table24[[#This Row],[Selection Option]:[Selection Option]],","))),,U$11),"")</f>
        <v/>
      </c>
      <c r="V14" s="29" t="str" cm="1">
        <f t="array" ref="V14">IFERROR(INDEX(_xlfn.UNIQUE(TRIM(_xlfn.TEXTSPLIT(Table24[[#This Row],[Selection Option]:[Selection Option]],","))),,V$11),"")</f>
        <v/>
      </c>
      <c r="W14" s="29" t="str" cm="1">
        <f t="array" ref="W14">IFERROR(INDEX(_xlfn.UNIQUE(TRIM(_xlfn.TEXTSPLIT(Table24[[#This Row],[Selection Option]:[Selection Option]],","))),,W$11),"")</f>
        <v/>
      </c>
      <c r="X14" s="29" t="str" cm="1">
        <f t="array" ref="X14">IFERROR(INDEX(_xlfn.UNIQUE(TRIM(_xlfn.TEXTSPLIT(Table24[[#This Row],[Selection Option]:[Selection Option]],","))),,X$11),"")</f>
        <v/>
      </c>
      <c r="Y14" s="30" cm="1">
        <f t="array" ref="Y14">IF(Table24[[#This Row],[1]]="","",Table24[[#This Row],[Weight]:[Weight]]-(Table24[[#This Row],[Weight]:[Weight]]*((_xlfn.XMATCH(Table24[[#This Row],[1]],Table24[[#This Row],[1]:[11]],0))-1)/(COUNTA(Table24[[#This Row],[1]:[11]])-COUNTBLANK(Table24[[#This Row],[1]:[11]])-1)))</f>
        <v>9.6153846153846159E-2</v>
      </c>
      <c r="Z14" s="30" cm="1">
        <f t="array" ref="Z14">IF(Table24[[#This Row],[2]]="","",Table24[[#This Row],[Weight]:[Weight]]-(Table24[[#This Row],[Weight]:[Weight]]*((_xlfn.XMATCH(Table24[[#This Row],[2]],Table24[[#This Row],[1]:[11]],0))-1)/(COUNTA(Table24[[#This Row],[1]:[11]])-COUNTBLANK(Table24[[#This Row],[1]:[11]])-1)))</f>
        <v>0</v>
      </c>
      <c r="AA14" s="30" t="str" cm="1">
        <f t="array" ref="AA14">IF(Table24[[#This Row],[3]]="","",Table24[[#This Row],[Weight]:[Weight]]-(Table24[[#This Row],[Weight]:[Weight]]*((_xlfn.XMATCH(Table24[[#This Row],[3]],Table24[[#This Row],[1]:[11]],0))-1)/(COUNTA(Table24[[#This Row],[1]:[11]])-COUNTBLANK(Table24[[#This Row],[1]:[11]])-1)))</f>
        <v/>
      </c>
      <c r="AB14" s="30" t="str" cm="1">
        <f t="array" ref="AB14">IF(Table24[[#This Row],[4]]="","",Table24[[#This Row],[Weight]:[Weight]]-(Table24[[#This Row],[Weight]:[Weight]]*((_xlfn.XMATCH(Table24[[#This Row],[4]],Table24[[#This Row],[1]:[11]],0))-1)/(COUNTA(Table24[[#This Row],[1]:[11]])-COUNTBLANK(Table24[[#This Row],[1]:[11]])-1)))</f>
        <v/>
      </c>
      <c r="AC14" s="30" t="str" cm="1">
        <f t="array" ref="AC14">IF(Table24[[#This Row],[5]]="","",Table24[[#This Row],[Weight]:[Weight]]-(Table24[[#This Row],[Weight]:[Weight]]*((_xlfn.XMATCH(Table24[[#This Row],[5]],Table24[[#This Row],[1]:[11]],0))-1)/(COUNTA(Table24[[#This Row],[1]:[11]])-COUNTBLANK(Table24[[#This Row],[1]:[11]])-1)))</f>
        <v/>
      </c>
      <c r="AD14" s="30" t="str" cm="1">
        <f t="array" ref="AD14">IF(Table24[[#This Row],[6]]="","",Table24[[#This Row],[Weight]:[Weight]]-(Table24[[#This Row],[Weight]:[Weight]]*((_xlfn.XMATCH(Table24[[#This Row],[6]],Table24[[#This Row],[1]:[11]],0))-1)/(COUNTA(Table24[[#This Row],[1]:[11]])-COUNTBLANK(Table24[[#This Row],[1]:[11]])-1)))</f>
        <v/>
      </c>
      <c r="AE14" s="30" t="str" cm="1">
        <f t="array" ref="AE14">IF(Table24[[#This Row],[7]]="","",Table24[[#This Row],[Weight]:[Weight]]-(Table24[[#This Row],[Weight]:[Weight]]*((_xlfn.XMATCH(Table24[[#This Row],[7]],Table24[[#This Row],[1]:[11]],0))-1)/(COUNTA(Table24[[#This Row],[1]:[11]])-COUNTBLANK(Table24[[#This Row],[1]:[11]])-1)))</f>
        <v/>
      </c>
      <c r="AF14" s="30" t="str" cm="1">
        <f t="array" ref="AF14">IF(Table24[[#This Row],[8]]="","",Table24[[#This Row],[Weight]:[Weight]]-(Table24[[#This Row],[Weight]:[Weight]]*((_xlfn.XMATCH(Table24[[#This Row],[8]],Table24[[#This Row],[1]:[11]],0))-1)/(COUNTA(Table24[[#This Row],[1]:[11]])-COUNTBLANK(Table24[[#This Row],[1]:[11]])-1)))</f>
        <v/>
      </c>
      <c r="AG14" s="30" t="str" cm="1">
        <f t="array" ref="AG14">IF(Table24[[#This Row],[9]]="","",Table24[[#This Row],[Weight]:[Weight]]-(Table24[[#This Row],[Weight]:[Weight]]*((_xlfn.XMATCH(Table24[[#This Row],[9]],Table24[[#This Row],[1]:[11]],0))-1)/(COUNTA(Table24[[#This Row],[1]:[11]])-COUNTBLANK(Table24[[#This Row],[1]:[11]])-1)))</f>
        <v/>
      </c>
      <c r="AH14" s="30" t="str" cm="1">
        <f t="array" ref="AH14">IF(Table24[[#This Row],[10]]="","",Table24[[#This Row],[Weight]:[Weight]]-(Table24[[#This Row],[Weight]:[Weight]]*((_xlfn.XMATCH(Table24[[#This Row],[10]],Table24[[#This Row],[1]:[11]],0))-1)/(COUNTA(Table24[[#This Row],[1]:[11]])-COUNTBLANK(Table24[[#This Row],[1]:[11]])-1)))</f>
        <v/>
      </c>
      <c r="AI14" s="30" t="str" cm="1">
        <f t="array" ref="AI14">IF(Table24[[#This Row],[11]]="","",Table24[[#This Row],[Weight]:[Weight]]-(Table24[[#This Row],[Weight]:[Weight]]*((_xlfn.XMATCH(Table24[[#This Row],[11]],Table24[[#This Row],[1]:[11]],0))-1)/(COUNTA(Table24[[#This Row],[1]:[11]])-COUNTBLANK(Table24[[#This Row],[1]:[11]])-1)))</f>
        <v/>
      </c>
    </row>
    <row r="15" spans="1:35" ht="146.25" customHeight="1" x14ac:dyDescent="0.2">
      <c r="A15" s="32">
        <v>3</v>
      </c>
      <c r="B15" s="194" t="s">
        <v>111</v>
      </c>
      <c r="C15" s="194" t="s">
        <v>112</v>
      </c>
      <c r="D15" s="106"/>
      <c r="E15" s="106" t="s">
        <v>55</v>
      </c>
      <c r="F15" s="22" t="s">
        <v>56</v>
      </c>
      <c r="G15" s="23" cm="1">
        <f t="array" ref="G15">_xlfn.IFS(F15="","",F15="No interest",0,F15="Nice to have",1,F15="Useful",2,F15="Important",3,F15="Very important",4,F15="Critical",5,F15="Show stopper",6)</f>
        <v>3</v>
      </c>
      <c r="H15" s="24">
        <f>(G15/$G$11)*$F$11</f>
        <v>5.7692307692307696E-2</v>
      </c>
      <c r="I15" s="25" t="s">
        <v>107</v>
      </c>
      <c r="J15" s="37" t="str" cm="1">
        <f t="array" ref="J15">_xlfn.TEXTJOIN(" "&amp;CHAR(10),,TEXT(SUBSTITUTE(Table24[[#This Row],[12]:[22]],".",","),"0,00%"))</f>
        <v>0,0576923076923077 
0,00%</v>
      </c>
      <c r="K15" s="26" t="s">
        <v>108</v>
      </c>
      <c r="L15" s="27">
        <f>H15-(H15*((MATCH(Table24[[#This Row],[Evaluators Response (SELECT)]],Table24[[#This Row],[1]:[11]],0)-1)/(COUNTA(Table24[[#This Row],[1]:[11]])-COUNTBLANK(Table24[[#This Row],[1]:[11]])-1)))</f>
        <v>5.7692307692307696E-2</v>
      </c>
      <c r="M15" s="28"/>
      <c r="N15" s="29" t="str" cm="1">
        <f t="array" ref="N15">IFERROR(INDEX(_xlfn.UNIQUE(TRIM(_xlfn.TEXTSPLIT(Table24[[#This Row],[Selection Option]:[Selection Option]],","))),,N$11),"")</f>
        <v>1. Fully compliant</v>
      </c>
      <c r="O15" s="29" t="str" cm="1">
        <f t="array" ref="O15">IFERROR(INDEX(_xlfn.UNIQUE(TRIM(_xlfn.TEXTSPLIT(Table24[[#This Row],[Selection Option]:[Selection Option]],","))),,O$11),"")</f>
        <v xml:space="preserve">
2. Not compliant</v>
      </c>
      <c r="P15" s="29" t="str" cm="1">
        <f t="array" ref="P15">IFERROR(INDEX(_xlfn.UNIQUE(TRIM(_xlfn.TEXTSPLIT(Table24[[#This Row],[Selection Option]:[Selection Option]],","))),,P$11),"")</f>
        <v/>
      </c>
      <c r="Q15" s="29" t="str" cm="1">
        <f t="array" ref="Q15">IFERROR(INDEX(_xlfn.UNIQUE(TRIM(_xlfn.TEXTSPLIT(Table24[[#This Row],[Selection Option]:[Selection Option]],","))),,Q$11),"")</f>
        <v/>
      </c>
      <c r="R15" s="29" t="str" cm="1">
        <f t="array" ref="R15">IFERROR(INDEX(_xlfn.UNIQUE(TRIM(_xlfn.TEXTSPLIT(Table24[[#This Row],[Selection Option]:[Selection Option]],","))),,R$11),"")</f>
        <v/>
      </c>
      <c r="S15" s="29" t="str" cm="1">
        <f t="array" ref="S15">IFERROR(INDEX(_xlfn.UNIQUE(TRIM(_xlfn.TEXTSPLIT(Table24[[#This Row],[Selection Option]:[Selection Option]],","))),,S$11),"")</f>
        <v/>
      </c>
      <c r="T15" s="29" t="str" cm="1">
        <f t="array" ref="T15">IFERROR(INDEX(_xlfn.UNIQUE(TRIM(_xlfn.TEXTSPLIT(Table24[[#This Row],[Selection Option]:[Selection Option]],","))),,T$11),"")</f>
        <v/>
      </c>
      <c r="U15" s="29" t="str" cm="1">
        <f t="array" ref="U15">IFERROR(INDEX(_xlfn.UNIQUE(TRIM(_xlfn.TEXTSPLIT(Table24[[#This Row],[Selection Option]:[Selection Option]],","))),,U$11),"")</f>
        <v/>
      </c>
      <c r="V15" s="29" t="str" cm="1">
        <f t="array" ref="V15">IFERROR(INDEX(_xlfn.UNIQUE(TRIM(_xlfn.TEXTSPLIT(Table24[[#This Row],[Selection Option]:[Selection Option]],","))),,V$11),"")</f>
        <v/>
      </c>
      <c r="W15" s="29" t="str" cm="1">
        <f t="array" ref="W15">IFERROR(INDEX(_xlfn.UNIQUE(TRIM(_xlfn.TEXTSPLIT(Table24[[#This Row],[Selection Option]:[Selection Option]],","))),,W$11),"")</f>
        <v/>
      </c>
      <c r="X15" s="29" t="str" cm="1">
        <f t="array" ref="X15">IFERROR(INDEX(_xlfn.UNIQUE(TRIM(_xlfn.TEXTSPLIT(Table24[[#This Row],[Selection Option]:[Selection Option]],","))),,X$11),"")</f>
        <v/>
      </c>
      <c r="Y15" s="30" cm="1">
        <f t="array" ref="Y15">IF(Table24[[#This Row],[1]]="","",Table24[[#This Row],[Weight]:[Weight]]-(Table24[[#This Row],[Weight]:[Weight]]*((_xlfn.XMATCH(Table24[[#This Row],[1]],Table24[[#This Row],[1]:[11]],0))-1)/(COUNTA(Table24[[#This Row],[1]:[11]])-COUNTBLANK(Table24[[#This Row],[1]:[11]])-1)))</f>
        <v>5.7692307692307696E-2</v>
      </c>
      <c r="Z15" s="30" cm="1">
        <f t="array" ref="Z15">IF(Table24[[#This Row],[2]]="","",Table24[[#This Row],[Weight]:[Weight]]-(Table24[[#This Row],[Weight]:[Weight]]*((_xlfn.XMATCH(Table24[[#This Row],[2]],Table24[[#This Row],[1]:[11]],0))-1)/(COUNTA(Table24[[#This Row],[1]:[11]])-COUNTBLANK(Table24[[#This Row],[1]:[11]])-1)))</f>
        <v>0</v>
      </c>
      <c r="AA15" s="30" t="str" cm="1">
        <f t="array" ref="AA15">IF(Table24[[#This Row],[3]]="","",Table24[[#This Row],[Weight]:[Weight]]-(Table24[[#This Row],[Weight]:[Weight]]*((_xlfn.XMATCH(Table24[[#This Row],[3]],Table24[[#This Row],[1]:[11]],0))-1)/(COUNTA(Table24[[#This Row],[1]:[11]])-COUNTBLANK(Table24[[#This Row],[1]:[11]])-1)))</f>
        <v/>
      </c>
      <c r="AB15" s="30" t="str" cm="1">
        <f t="array" ref="AB15">IF(Table24[[#This Row],[4]]="","",Table24[[#This Row],[Weight]:[Weight]]-(Table24[[#This Row],[Weight]:[Weight]]*((_xlfn.XMATCH(Table24[[#This Row],[4]],Table24[[#This Row],[1]:[11]],0))-1)/(COUNTA(Table24[[#This Row],[1]:[11]])-COUNTBLANK(Table24[[#This Row],[1]:[11]])-1)))</f>
        <v/>
      </c>
      <c r="AC15" s="30" t="str" cm="1">
        <f t="array" ref="AC15">IF(Table24[[#This Row],[5]]="","",Table24[[#This Row],[Weight]:[Weight]]-(Table24[[#This Row],[Weight]:[Weight]]*((_xlfn.XMATCH(Table24[[#This Row],[5]],Table24[[#This Row],[1]:[11]],0))-1)/(COUNTA(Table24[[#This Row],[1]:[11]])-COUNTBLANK(Table24[[#This Row],[1]:[11]])-1)))</f>
        <v/>
      </c>
      <c r="AD15" s="30" t="str" cm="1">
        <f t="array" ref="AD15">IF(Table24[[#This Row],[6]]="","",Table24[[#This Row],[Weight]:[Weight]]-(Table24[[#This Row],[Weight]:[Weight]]*((_xlfn.XMATCH(Table24[[#This Row],[6]],Table24[[#This Row],[1]:[11]],0))-1)/(COUNTA(Table24[[#This Row],[1]:[11]])-COUNTBLANK(Table24[[#This Row],[1]:[11]])-1)))</f>
        <v/>
      </c>
      <c r="AE15" s="30" t="str" cm="1">
        <f t="array" ref="AE15">IF(Table24[[#This Row],[7]]="","",Table24[[#This Row],[Weight]:[Weight]]-(Table24[[#This Row],[Weight]:[Weight]]*((_xlfn.XMATCH(Table24[[#This Row],[7]],Table24[[#This Row],[1]:[11]],0))-1)/(COUNTA(Table24[[#This Row],[1]:[11]])-COUNTBLANK(Table24[[#This Row],[1]:[11]])-1)))</f>
        <v/>
      </c>
      <c r="AF15" s="30" t="str" cm="1">
        <f t="array" ref="AF15">IF(Table24[[#This Row],[8]]="","",Table24[[#This Row],[Weight]:[Weight]]-(Table24[[#This Row],[Weight]:[Weight]]*((_xlfn.XMATCH(Table24[[#This Row],[8]],Table24[[#This Row],[1]:[11]],0))-1)/(COUNTA(Table24[[#This Row],[1]:[11]])-COUNTBLANK(Table24[[#This Row],[1]:[11]])-1)))</f>
        <v/>
      </c>
      <c r="AG15" s="41" t="str" cm="1">
        <f t="array" ref="AG15">IF(Table24[[#This Row],[9]]="","",Table24[[#This Row],[Weight]:[Weight]]-(Table24[[#This Row],[Weight]:[Weight]]*((_xlfn.XMATCH(Table24[[#This Row],[9]],Table24[[#This Row],[1]:[11]],0))-1)/(COUNTA(Table24[[#This Row],[1]:[11]])-COUNTBLANK(Table24[[#This Row],[1]:[11]])-1)))</f>
        <v/>
      </c>
      <c r="AH15" s="41" t="str" cm="1">
        <f t="array" ref="AH15">IF(Table24[[#This Row],[10]]="","",Table24[[#This Row],[Weight]:[Weight]]-(Table24[[#This Row],[Weight]:[Weight]]*((_xlfn.XMATCH(Table24[[#This Row],[10]],Table24[[#This Row],[1]:[11]],0))-1)/(COUNTA(Table24[[#This Row],[1]:[11]])-COUNTBLANK(Table24[[#This Row],[1]:[11]])-1)))</f>
        <v/>
      </c>
      <c r="AI15" s="41" t="str" cm="1">
        <f t="array" ref="AI15">IF(Table24[[#This Row],[11]]="","",Table24[[#This Row],[Weight]:[Weight]]-(Table24[[#This Row],[Weight]:[Weight]]*((_xlfn.XMATCH(Table24[[#This Row],[11]],Table24[[#This Row],[1]:[11]],0))-1)/(COUNTA(Table24[[#This Row],[1]:[11]])-COUNTBLANK(Table24[[#This Row],[1]:[11]])-1)))</f>
        <v/>
      </c>
    </row>
  </sheetData>
  <sheetProtection insertRows="0" insertHyperlinks="0" deleteRows="0" autoFilter="0"/>
  <mergeCells count="4">
    <mergeCell ref="A10:A11"/>
    <mergeCell ref="B10:C11"/>
    <mergeCell ref="D10:E11"/>
    <mergeCell ref="E2:F3"/>
  </mergeCells>
  <conditionalFormatting sqref="K13:K15">
    <cfRule type="expression" dxfId="7" priority="1">
      <formula>COUNTIF(N13:X13,K13)&lt;&gt;1</formula>
    </cfRule>
  </conditionalFormatting>
  <dataValidations count="4">
    <dataValidation type="list" allowBlank="1" showInputMessage="1" showErrorMessage="1" sqref="F13:F15" xr:uid="{C4267735-CBC3-47EF-8315-50A95E56C785}">
      <formula1>"No interest,Nice to have,Useful,Important,Very important,Critical,Show stopper"</formula1>
    </dataValidation>
    <dataValidation type="list" allowBlank="1" showInputMessage="1" showErrorMessage="1" sqref="M14:M15" xr:uid="{6D4B75FD-5878-4F35-A300-15996E38A775}">
      <formula1>_xlfn.UNIQUE(TRIM(_xlfn.TEXTSPLIT(#REF!,",")))</formula1>
    </dataValidation>
    <dataValidation type="list" allowBlank="1" showInputMessage="1" showErrorMessage="1" sqref="K13:K15" xr:uid="{EF6EA2E8-4618-4D4A-8F05-D54AB680C0F1}">
      <formula1>$N13:$X13</formula1>
    </dataValidation>
    <dataValidation type="list" allowBlank="1" showInputMessage="1" showErrorMessage="1" sqref="H13:H15" xr:uid="{C470FAE0-0C1F-4750-8E47-C18A10ACE983}">
      <formula1>N13:R13</formula1>
    </dataValidation>
  </dataValidations>
  <pageMargins left="0.7" right="0.7" top="0.75" bottom="0.75" header="0.3" footer="0.3"/>
  <pageSetup paperSize="9" scale="40"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795C3-D1B8-4618-933F-2B35C72DD8D8}">
  <sheetPr>
    <tabColor rgb="FF002060"/>
    <pageSetUpPr fitToPage="1"/>
  </sheetPr>
  <dimension ref="A2:AI65"/>
  <sheetViews>
    <sheetView zoomScale="110" zoomScaleNormal="110" workbookViewId="0">
      <pane xSplit="2" topLeftCell="C1" activePane="topRight" state="frozen"/>
      <selection activeCell="A13" sqref="A13"/>
      <selection pane="topRight" activeCell="A23" sqref="A23"/>
    </sheetView>
  </sheetViews>
  <sheetFormatPr defaultColWidth="5.5703125" defaultRowHeight="12" x14ac:dyDescent="0.2"/>
  <cols>
    <col min="1" max="1" width="11.5703125" style="6" customWidth="1"/>
    <col min="2" max="2" width="60.85546875" style="6" customWidth="1"/>
    <col min="3" max="3" width="45.28515625" style="6" bestFit="1" customWidth="1"/>
    <col min="4" max="4" width="36.5703125" style="6" bestFit="1" customWidth="1"/>
    <col min="5" max="5" width="42.5703125" style="6" bestFit="1" customWidth="1"/>
    <col min="6" max="6" width="18.5703125" style="6" bestFit="1" customWidth="1"/>
    <col min="7" max="7" width="11.28515625" style="6" bestFit="1" customWidth="1"/>
    <col min="8" max="8" width="13.7109375" style="6" bestFit="1" customWidth="1"/>
    <col min="9" max="9" width="19.42578125" style="6" bestFit="1" customWidth="1"/>
    <col min="10" max="10" width="21.28515625" style="6" customWidth="1"/>
    <col min="11" max="11" width="15.85546875" style="6" customWidth="1"/>
    <col min="12" max="12" width="7.85546875" style="45" bestFit="1" customWidth="1"/>
    <col min="13" max="13" width="19.7109375" style="6" bestFit="1" customWidth="1"/>
    <col min="14" max="14" width="6.5703125" style="46" hidden="1" customWidth="1"/>
    <col min="15" max="24" width="6.42578125" style="46" hidden="1" customWidth="1"/>
    <col min="25" max="25" width="8" style="6" hidden="1" customWidth="1"/>
    <col min="26" max="26" width="6" style="6" hidden="1" customWidth="1"/>
    <col min="27" max="32" width="6.140625" style="6" hidden="1" customWidth="1"/>
    <col min="33" max="35" width="5.5703125" style="6" hidden="1" customWidth="1"/>
    <col min="36" max="16384" width="5.5703125" style="6"/>
  </cols>
  <sheetData>
    <row r="2" spans="2:6" ht="15" x14ac:dyDescent="0.25">
      <c r="B2" s="90" t="s">
        <v>82</v>
      </c>
      <c r="C2" s="91" t="s">
        <v>83</v>
      </c>
      <c r="E2" s="308" t="s">
        <v>113</v>
      </c>
      <c r="F2" s="308"/>
    </row>
    <row r="3" spans="2:6" ht="15" x14ac:dyDescent="0.25">
      <c r="B3" s="90" t="s">
        <v>84</v>
      </c>
      <c r="C3" s="91" t="s">
        <v>83</v>
      </c>
      <c r="E3" s="308"/>
      <c r="F3" s="308"/>
    </row>
    <row r="4" spans="2:6" ht="15.75" x14ac:dyDescent="0.25">
      <c r="B4" s="90" t="s">
        <v>86</v>
      </c>
      <c r="C4" s="93" t="s">
        <v>87</v>
      </c>
      <c r="D4" s="55"/>
      <c r="E4" s="115" t="s">
        <v>72</v>
      </c>
      <c r="F4" s="119"/>
    </row>
    <row r="5" spans="2:6" ht="15.75" x14ac:dyDescent="0.25">
      <c r="B5" s="90" t="s">
        <v>88</v>
      </c>
      <c r="C5" s="93" t="s">
        <v>87</v>
      </c>
      <c r="D5" s="55"/>
      <c r="E5" s="55"/>
    </row>
    <row r="6" spans="2:6" ht="15.75" x14ac:dyDescent="0.25">
      <c r="B6" s="90" t="s">
        <v>90</v>
      </c>
      <c r="C6" s="93" t="s">
        <v>87</v>
      </c>
      <c r="D6" s="55"/>
      <c r="E6" s="55"/>
    </row>
    <row r="7" spans="2:6" ht="15.75" x14ac:dyDescent="0.25">
      <c r="B7" s="90" t="s">
        <v>91</v>
      </c>
      <c r="C7" s="93"/>
      <c r="D7" s="57"/>
      <c r="E7" s="55"/>
    </row>
    <row r="11" spans="2:6" ht="15" x14ac:dyDescent="0.25">
      <c r="B11" s="90" t="s">
        <v>82</v>
      </c>
      <c r="C11" s="91" t="s">
        <v>83</v>
      </c>
      <c r="E11" s="308" t="s">
        <v>113</v>
      </c>
      <c r="F11" s="308"/>
    </row>
    <row r="12" spans="2:6" ht="15" x14ac:dyDescent="0.25">
      <c r="B12" s="90" t="s">
        <v>84</v>
      </c>
      <c r="C12" s="91" t="s">
        <v>85</v>
      </c>
      <c r="E12" s="308"/>
      <c r="F12" s="308"/>
    </row>
    <row r="13" spans="2:6" ht="15.75" x14ac:dyDescent="0.25">
      <c r="B13" s="90" t="s">
        <v>86</v>
      </c>
      <c r="C13" s="93" t="s">
        <v>87</v>
      </c>
      <c r="D13" s="55"/>
      <c r="E13" s="115" t="s">
        <v>72</v>
      </c>
      <c r="F13" s="119"/>
    </row>
    <row r="14" spans="2:6" ht="15.75" x14ac:dyDescent="0.25">
      <c r="B14" s="90" t="s">
        <v>88</v>
      </c>
      <c r="C14" s="93" t="s">
        <v>87</v>
      </c>
      <c r="D14" s="55"/>
      <c r="E14" s="55"/>
    </row>
    <row r="15" spans="2:6" ht="15.75" x14ac:dyDescent="0.25">
      <c r="B15" s="90" t="s">
        <v>90</v>
      </c>
      <c r="C15" s="93" t="s">
        <v>87</v>
      </c>
      <c r="D15" s="55"/>
      <c r="E15" s="55"/>
    </row>
    <row r="16" spans="2:6" ht="42.75" customHeight="1" x14ac:dyDescent="0.25">
      <c r="B16" s="90" t="s">
        <v>91</v>
      </c>
      <c r="C16" s="93"/>
      <c r="D16" s="57"/>
      <c r="E16" s="55"/>
    </row>
    <row r="19" spans="1:35" ht="19.5" customHeight="1" x14ac:dyDescent="0.2">
      <c r="A19" s="283"/>
      <c r="B19" s="285" t="s">
        <v>14</v>
      </c>
      <c r="C19" s="285"/>
      <c r="D19" s="287" t="s">
        <v>15</v>
      </c>
      <c r="E19" s="288"/>
      <c r="F19" s="1" t="s">
        <v>16</v>
      </c>
      <c r="G19" s="2"/>
      <c r="H19" s="3"/>
      <c r="I19" s="3"/>
      <c r="J19" s="3"/>
      <c r="K19" s="3"/>
      <c r="L19" s="4"/>
      <c r="M19" s="5"/>
      <c r="N19" s="4"/>
      <c r="O19" s="4"/>
      <c r="P19" s="4"/>
      <c r="Q19" s="4"/>
      <c r="R19" s="4"/>
      <c r="S19" s="4"/>
      <c r="T19" s="4"/>
      <c r="U19" s="4"/>
      <c r="V19" s="4"/>
      <c r="W19" s="4"/>
      <c r="X19" s="4"/>
      <c r="Y19" s="4"/>
      <c r="Z19" s="4"/>
      <c r="AA19" s="4"/>
      <c r="AB19" s="4"/>
      <c r="AC19" s="4"/>
      <c r="AD19" s="4"/>
      <c r="AE19" s="4"/>
      <c r="AF19" s="4"/>
      <c r="AG19" s="4"/>
      <c r="AH19" s="4"/>
      <c r="AI19" s="4"/>
    </row>
    <row r="20" spans="1:35" x14ac:dyDescent="0.2">
      <c r="A20" s="284"/>
      <c r="B20" s="286"/>
      <c r="C20" s="286"/>
      <c r="D20" s="289"/>
      <c r="E20" s="307"/>
      <c r="F20" s="188"/>
      <c r="G20" s="189"/>
      <c r="H20" s="190"/>
      <c r="I20" s="190"/>
      <c r="J20" s="190"/>
      <c r="K20" s="190"/>
      <c r="L20" s="191"/>
      <c r="M20" s="192"/>
      <c r="N20" s="193"/>
      <c r="O20" s="193"/>
      <c r="P20" s="193"/>
      <c r="Q20" s="193"/>
      <c r="R20" s="193"/>
      <c r="S20" s="193"/>
      <c r="T20" s="193"/>
      <c r="U20" s="193"/>
      <c r="V20" s="193"/>
      <c r="W20" s="193"/>
      <c r="X20" s="193"/>
      <c r="Y20" s="193"/>
      <c r="Z20" s="193"/>
      <c r="AA20" s="193"/>
      <c r="AB20" s="193"/>
      <c r="AC20" s="193"/>
      <c r="AD20" s="193"/>
      <c r="AE20" s="193"/>
      <c r="AF20" s="193"/>
      <c r="AG20" s="193"/>
      <c r="AH20" s="193"/>
      <c r="AI20" s="193"/>
    </row>
    <row r="21" spans="1:35" x14ac:dyDescent="0.2">
      <c r="A21" s="284"/>
      <c r="B21" s="286"/>
      <c r="C21" s="286"/>
      <c r="D21" s="289"/>
      <c r="E21" s="289"/>
      <c r="F21" s="177">
        <f>'Scoring Summary'!C15</f>
        <v>0.4</v>
      </c>
      <c r="G21" s="48">
        <f>SUM(Table2[Priority])</f>
        <v>247</v>
      </c>
      <c r="H21" s="8">
        <f>SUM(Table2[Weight])</f>
        <v>0.39999999999999991</v>
      </c>
      <c r="I21" s="7"/>
      <c r="J21" s="7"/>
      <c r="K21" s="9" t="s">
        <v>17</v>
      </c>
      <c r="L21" s="8">
        <f>SUM(Table2[Score])</f>
        <v>0.39999999999999991</v>
      </c>
      <c r="M21" s="7"/>
      <c r="N21" s="10">
        <v>1</v>
      </c>
      <c r="O21" s="10">
        <v>2</v>
      </c>
      <c r="P21" s="10">
        <v>3</v>
      </c>
      <c r="Q21" s="10">
        <v>4</v>
      </c>
      <c r="R21" s="10">
        <v>5</v>
      </c>
      <c r="S21" s="10">
        <v>6</v>
      </c>
      <c r="T21" s="10">
        <v>7</v>
      </c>
      <c r="U21" s="10">
        <v>8</v>
      </c>
      <c r="V21" s="10">
        <v>9</v>
      </c>
      <c r="W21" s="10">
        <v>10</v>
      </c>
      <c r="X21" s="10">
        <v>11</v>
      </c>
      <c r="Y21" s="10">
        <v>12</v>
      </c>
      <c r="Z21" s="10">
        <v>13</v>
      </c>
      <c r="AA21" s="10">
        <v>14</v>
      </c>
      <c r="AB21" s="10">
        <v>15</v>
      </c>
      <c r="AC21" s="10">
        <v>16</v>
      </c>
      <c r="AD21" s="10">
        <v>17</v>
      </c>
      <c r="AE21" s="10">
        <v>18</v>
      </c>
      <c r="AF21" s="10">
        <v>19</v>
      </c>
      <c r="AG21" s="10">
        <v>20</v>
      </c>
      <c r="AH21" s="10">
        <v>21</v>
      </c>
      <c r="AI21" s="10">
        <v>22</v>
      </c>
    </row>
    <row r="22" spans="1:35" ht="48" x14ac:dyDescent="0.2">
      <c r="A22" s="11" t="s">
        <v>102</v>
      </c>
      <c r="B22" s="12" t="s">
        <v>19</v>
      </c>
      <c r="C22" s="13" t="s">
        <v>103</v>
      </c>
      <c r="D22" s="14" t="s">
        <v>21</v>
      </c>
      <c r="E22" s="14" t="s">
        <v>22</v>
      </c>
      <c r="F22" s="15" t="s">
        <v>23</v>
      </c>
      <c r="G22" s="16" t="s">
        <v>24</v>
      </c>
      <c r="H22" s="16" t="s">
        <v>25</v>
      </c>
      <c r="I22" s="15" t="s">
        <v>114</v>
      </c>
      <c r="J22" s="16" t="s">
        <v>27</v>
      </c>
      <c r="K22" s="15" t="s">
        <v>28</v>
      </c>
      <c r="L22" s="17" t="s">
        <v>29</v>
      </c>
      <c r="M22" s="15" t="s">
        <v>30</v>
      </c>
      <c r="N22" s="18" t="s">
        <v>31</v>
      </c>
      <c r="O22" s="18" t="s">
        <v>32</v>
      </c>
      <c r="P22" s="18" t="s">
        <v>33</v>
      </c>
      <c r="Q22" s="18" t="s">
        <v>34</v>
      </c>
      <c r="R22" s="18" t="s">
        <v>35</v>
      </c>
      <c r="S22" s="18" t="s">
        <v>36</v>
      </c>
      <c r="T22" s="18" t="s">
        <v>37</v>
      </c>
      <c r="U22" s="18" t="s">
        <v>38</v>
      </c>
      <c r="V22" s="18" t="s">
        <v>39</v>
      </c>
      <c r="W22" s="18" t="s">
        <v>40</v>
      </c>
      <c r="X22" s="18" t="s">
        <v>41</v>
      </c>
      <c r="Y22" s="19" t="s">
        <v>42</v>
      </c>
      <c r="Z22" s="19" t="s">
        <v>43</v>
      </c>
      <c r="AA22" s="19" t="s">
        <v>44</v>
      </c>
      <c r="AB22" s="19" t="s">
        <v>45</v>
      </c>
      <c r="AC22" s="19" t="s">
        <v>46</v>
      </c>
      <c r="AD22" s="19" t="s">
        <v>47</v>
      </c>
      <c r="AE22" s="19" t="s">
        <v>48</v>
      </c>
      <c r="AF22" s="19" t="s">
        <v>49</v>
      </c>
      <c r="AG22" s="19" t="s">
        <v>50</v>
      </c>
      <c r="AH22" s="19" t="s">
        <v>51</v>
      </c>
      <c r="AI22" s="19" t="s">
        <v>52</v>
      </c>
    </row>
    <row r="23" spans="1:35" ht="72" x14ac:dyDescent="0.2">
      <c r="A23" s="117" t="s">
        <v>115</v>
      </c>
      <c r="B23" s="21" t="s">
        <v>116</v>
      </c>
      <c r="C23" s="204" t="s">
        <v>117</v>
      </c>
      <c r="D23" s="21"/>
      <c r="E23" s="21" t="s">
        <v>55</v>
      </c>
      <c r="F23" s="187" t="s">
        <v>60</v>
      </c>
      <c r="G23" s="35" cm="1">
        <f t="array" ref="G23">_xlfn.IFS(F23="","",F23="No interest",0,F23="Nice to have",1,F23="Useful",2,F23="Important",3,F23="Very important",4,F23="Critical",5,F23="Show stopper",6)</f>
        <v>6</v>
      </c>
      <c r="H23" s="36">
        <f t="shared" ref="H23" si="0">(G23/$G$21)*$F$21</f>
        <v>9.7165991902834013E-3</v>
      </c>
      <c r="I23" s="25" t="s">
        <v>118</v>
      </c>
      <c r="J23" s="37" t="str" cm="1">
        <f t="array" ref="J23">_xlfn.TEXTJOIN(" "&amp;CHAR(10),,TEXT(SUBSTITUTE(Table2[[#This Row],[12]:[22]],".",","),"0,00%"))</f>
        <v>0,0097165991902834 
0,0048582995951417 
0,00%</v>
      </c>
      <c r="K23" s="38" t="s">
        <v>119</v>
      </c>
      <c r="L23" s="39">
        <f>H23-(H23*((MATCH(Table2[[#This Row],[Evaluators Response (SELECT)]],Table2[[#This Row],[1]:[11]],0)-1)/(COUNTA(Table2[[#This Row],[1]:[11]])-COUNTBLANK(Table2[[#This Row],[1]:[11]])-1)))</f>
        <v>9.7165991902834013E-3</v>
      </c>
      <c r="M23" s="40"/>
      <c r="N23" s="29" t="str" cm="1">
        <f t="array" ref="N23">IFERROR(INDEX(_xlfn.UNIQUE(TRIM(_xlfn.TEXTSPLIT(Table2[[#This Row],[Selection Options]:[Selection Options]],","))),,N$21),"")</f>
        <v>1. Extensive functionality available</v>
      </c>
      <c r="O23" s="29" t="str" cm="1">
        <f t="array" ref="O23">IFERROR(INDEX(_xlfn.UNIQUE(TRIM(_xlfn.TEXTSPLIT(Table2[[#This Row],[Selection Options]:[Selection Options]],","))),,O$21),"")</f>
        <v xml:space="preserve">
2. Limited functionality available</v>
      </c>
      <c r="P23" s="29" t="str" cm="1">
        <f t="array" ref="P23">IFERROR(INDEX(_xlfn.UNIQUE(TRIM(_xlfn.TEXTSPLIT(Table2[[#This Row],[Selection Options]:[Selection Options]],","))),,P$21),"")</f>
        <v xml:space="preserve">
3. Functionality not available</v>
      </c>
      <c r="Q23" s="29" t="str" cm="1">
        <f t="array" ref="Q23">IFERROR(INDEX(_xlfn.UNIQUE(TRIM(_xlfn.TEXTSPLIT(Table2[[#This Row],[Selection Options]:[Selection Options]],","))),,Q$21),"")</f>
        <v/>
      </c>
      <c r="R23" s="29" t="str" cm="1">
        <f t="array" ref="R23">IFERROR(INDEX(_xlfn.UNIQUE(TRIM(_xlfn.TEXTSPLIT(Table2[[#This Row],[Selection Options]:[Selection Options]],","))),,R$21),"")</f>
        <v/>
      </c>
      <c r="S23" s="29" t="str" cm="1">
        <f t="array" ref="S23">IFERROR(INDEX(_xlfn.UNIQUE(TRIM(_xlfn.TEXTSPLIT(Table2[[#This Row],[Selection Options]:[Selection Options]],","))),,S$21),"")</f>
        <v/>
      </c>
      <c r="T23" s="29" t="str" cm="1">
        <f t="array" ref="T23">IFERROR(INDEX(_xlfn.UNIQUE(TRIM(_xlfn.TEXTSPLIT(Table2[[#This Row],[Selection Options]:[Selection Options]],","))),,T$21),"")</f>
        <v/>
      </c>
      <c r="U23" s="29" t="str" cm="1">
        <f t="array" ref="U23">IFERROR(INDEX(_xlfn.UNIQUE(TRIM(_xlfn.TEXTSPLIT(Table2[[#This Row],[Selection Options]:[Selection Options]],","))),,U$21),"")</f>
        <v/>
      </c>
      <c r="V23" s="29" t="str" cm="1">
        <f t="array" ref="V23">IFERROR(INDEX(_xlfn.UNIQUE(TRIM(_xlfn.TEXTSPLIT(Table2[[#This Row],[Selection Options]:[Selection Options]],","))),,V$21),"")</f>
        <v/>
      </c>
      <c r="W23" s="29" t="str" cm="1">
        <f t="array" ref="W23">IFERROR(INDEX(_xlfn.UNIQUE(TRIM(_xlfn.TEXTSPLIT(Table2[[#This Row],[Selection Options]:[Selection Options]],","))),,W$21),"")</f>
        <v/>
      </c>
      <c r="X23" s="29" t="str" cm="1">
        <f t="array" ref="X23">IFERROR(INDEX(_xlfn.UNIQUE(TRIM(_xlfn.TEXTSPLIT(Table2[[#This Row],[Selection Options]:[Selection Options]],","))),,X$21),"")</f>
        <v/>
      </c>
      <c r="Y23" s="30" cm="1">
        <f t="array" ref="Y23">IF(Table2[[#This Row],[1]]="","",Table2[[#This Row],[Weight]:[Weight]]-(Table2[[#This Row],[Weight]:[Weight]]*((_xlfn.XMATCH(Table2[[#This Row],[1]],Table2[[#This Row],[1]:[11]],0))-1)/(COUNTA(Table2[[#This Row],[1]:[11]])-COUNTBLANK(Table2[[#This Row],[1]:[11]])-1)))</f>
        <v>9.7165991902834013E-3</v>
      </c>
      <c r="Z23" s="30" cm="1">
        <f t="array" ref="Z23">IF(Table2[[#This Row],[2]]="","",Table2[[#This Row],[Weight]:[Weight]]-(Table2[[#This Row],[Weight]:[Weight]]*((_xlfn.XMATCH(Table2[[#This Row],[2]],Table2[[#This Row],[1]:[11]],0))-1)/(COUNTA(Table2[[#This Row],[1]:[11]])-COUNTBLANK(Table2[[#This Row],[1]:[11]])-1)))</f>
        <v>4.8582995951417006E-3</v>
      </c>
      <c r="AA23" s="30" cm="1">
        <f t="array" ref="AA23">IF(Table2[[#This Row],[3]]="","",Table2[[#This Row],[Weight]:[Weight]]-(Table2[[#This Row],[Weight]:[Weight]]*((_xlfn.XMATCH(Table2[[#This Row],[3]],Table2[[#This Row],[1]:[11]],0))-1)/(COUNTA(Table2[[#This Row],[1]:[11]])-COUNTBLANK(Table2[[#This Row],[1]:[11]])-1)))</f>
        <v>0</v>
      </c>
      <c r="AB23" s="30" t="str" cm="1">
        <f t="array" ref="AB23">IF(Table2[[#This Row],[4]]="","",Table2[[#This Row],[Weight]:[Weight]]-(Table2[[#This Row],[Weight]:[Weight]]*((_xlfn.XMATCH(Table2[[#This Row],[4]],Table2[[#This Row],[1]:[11]],0))-1)/(COUNTA(Table2[[#This Row],[1]:[11]])-COUNTBLANK(Table2[[#This Row],[1]:[11]])-1)))</f>
        <v/>
      </c>
      <c r="AC23" s="30" t="str" cm="1">
        <f t="array" ref="AC23">IF(Table2[[#This Row],[5]]="","",Table2[[#This Row],[Weight]:[Weight]]-(Table2[[#This Row],[Weight]:[Weight]]*((_xlfn.XMATCH(Table2[[#This Row],[5]],Table2[[#This Row],[1]:[11]],0))-1)/(COUNTA(Table2[[#This Row],[1]:[11]])-COUNTBLANK(Table2[[#This Row],[1]:[11]])-1)))</f>
        <v/>
      </c>
      <c r="AD23" s="30" t="str" cm="1">
        <f t="array" ref="AD23">IF(Table2[[#This Row],[6]]="","",Table2[[#This Row],[Weight]:[Weight]]-(Table2[[#This Row],[Weight]:[Weight]]*((_xlfn.XMATCH(Table2[[#This Row],[6]],Table2[[#This Row],[1]:[11]],0))-1)/(COUNTA(Table2[[#This Row],[1]:[11]])-COUNTBLANK(Table2[[#This Row],[1]:[11]])-1)))</f>
        <v/>
      </c>
      <c r="AE23" s="30" t="str" cm="1">
        <f t="array" ref="AE23">IF(Table2[[#This Row],[7]]="","",Table2[[#This Row],[Weight]:[Weight]]-(Table2[[#This Row],[Weight]:[Weight]]*((_xlfn.XMATCH(Table2[[#This Row],[7]],Table2[[#This Row],[1]:[11]],0))-1)/(COUNTA(Table2[[#This Row],[1]:[11]])-COUNTBLANK(Table2[[#This Row],[1]:[11]])-1)))</f>
        <v/>
      </c>
      <c r="AF23" s="30" t="str" cm="1">
        <f t="array" ref="AF23">IF(Table2[[#This Row],[8]]="","",Table2[[#This Row],[Weight]:[Weight]]-(Table2[[#This Row],[Weight]:[Weight]]*((_xlfn.XMATCH(Table2[[#This Row],[8]],Table2[[#This Row],[1]:[11]],0))-1)/(COUNTA(Table2[[#This Row],[1]:[11]])-COUNTBLANK(Table2[[#This Row],[1]:[11]])-1)))</f>
        <v/>
      </c>
      <c r="AG23" s="30" t="str" cm="1">
        <f t="array" ref="AG23">IF(Table2[[#This Row],[9]]="","",Table2[[#This Row],[Weight]:[Weight]]-(Table2[[#This Row],[Weight]:[Weight]]*((_xlfn.XMATCH(Table2[[#This Row],[9]],Table2[[#This Row],[1]:[11]],0))-1)/(COUNTA(Table2[[#This Row],[1]:[11]])-COUNTBLANK(Table2[[#This Row],[1]:[11]])-1)))</f>
        <v/>
      </c>
      <c r="AH23" s="30" t="str" cm="1">
        <f t="array" ref="AH23">IF(Table2[[#This Row],[10]]="","",Table2[[#This Row],[Weight]:[Weight]]-(Table2[[#This Row],[Weight]:[Weight]]*((_xlfn.XMATCH(Table2[[#This Row],[10]],Table2[[#This Row],[1]:[11]],0))-1)/(COUNTA(Table2[[#This Row],[1]:[11]])-COUNTBLANK(Table2[[#This Row],[1]:[11]])-1)))</f>
        <v/>
      </c>
      <c r="AI23" s="30" t="str" cm="1">
        <f t="array" ref="AI23">IF(Table2[[#This Row],[11]]="","",Table2[[#This Row],[Weight]:[Weight]]-(Table2[[#This Row],[Weight]:[Weight]]*((_xlfn.XMATCH(Table2[[#This Row],[11]],Table2[[#This Row],[1]:[11]],0))-1)/(COUNTA(Table2[[#This Row],[1]:[11]])-COUNTBLANK(Table2[[#This Row],[1]:[11]])-1)))</f>
        <v/>
      </c>
    </row>
    <row r="24" spans="1:35" ht="72" x14ac:dyDescent="0.2">
      <c r="A24" s="117" t="s">
        <v>120</v>
      </c>
      <c r="B24" s="21" t="s">
        <v>121</v>
      </c>
      <c r="C24" s="204" t="s">
        <v>122</v>
      </c>
      <c r="D24" s="21"/>
      <c r="E24" s="21" t="s">
        <v>55</v>
      </c>
      <c r="F24" s="22" t="s">
        <v>60</v>
      </c>
      <c r="G24" s="23" cm="1">
        <f t="array" ref="G24">_xlfn.IFS(F24="","",F24="No interest",0,F24="Nice to have",1,F24="Useful",2,F24="Important",3,F24="Very important",4,F24="Critical",5,F24="Show stopper",6)</f>
        <v>6</v>
      </c>
      <c r="H24" s="24">
        <f>(G24/$G$21)*$F$21</f>
        <v>9.7165991902834013E-3</v>
      </c>
      <c r="I24" s="25" t="s">
        <v>118</v>
      </c>
      <c r="J24" s="37" t="str" cm="1">
        <f t="array" ref="J24">_xlfn.TEXTJOIN(" "&amp;CHAR(10),,TEXT(SUBSTITUTE(Table2[[#This Row],[12]:[22]],".",","),"0,00%"))</f>
        <v>0,0097165991902834 
0,0048582995951417 
0,00%</v>
      </c>
      <c r="K24" s="26" t="s">
        <v>119</v>
      </c>
      <c r="L24" s="27">
        <f>H24-(H24*((MATCH(Table2[[#This Row],[Evaluators Response (SELECT)]],Table2[[#This Row],[1]:[11]],0)-1)/(COUNTA(Table2[[#This Row],[1]:[11]])-COUNTBLANK(Table2[[#This Row],[1]:[11]])-1)))</f>
        <v>9.7165991902834013E-3</v>
      </c>
      <c r="M24" s="28"/>
      <c r="N24" s="41" t="str" cm="1">
        <f t="array" ref="N24">IFERROR(INDEX(_xlfn.UNIQUE(TRIM(_xlfn.TEXTSPLIT(Table2[[#This Row],[Selection Options]:[Selection Options]],","))),,N$21),"")</f>
        <v>1. Extensive functionality available</v>
      </c>
      <c r="O24" s="29" t="str" cm="1">
        <f t="array" ref="O24">IFERROR(INDEX(_xlfn.UNIQUE(TRIM(_xlfn.TEXTSPLIT(Table2[[#This Row],[Selection Options]:[Selection Options]],","))),,O$21),"")</f>
        <v xml:space="preserve">
2. Limited functionality available</v>
      </c>
      <c r="P24" s="29" t="str" cm="1">
        <f t="array" ref="P24">IFERROR(INDEX(_xlfn.UNIQUE(TRIM(_xlfn.TEXTSPLIT(Table2[[#This Row],[Selection Options]:[Selection Options]],","))),,P$21),"")</f>
        <v xml:space="preserve">
3. Functionality not available</v>
      </c>
      <c r="Q24" s="29" t="str" cm="1">
        <f t="array" ref="Q24">IFERROR(INDEX(_xlfn.UNIQUE(TRIM(_xlfn.TEXTSPLIT(Table2[[#This Row],[Selection Options]:[Selection Options]],","))),,Q$21),"")</f>
        <v/>
      </c>
      <c r="R24" s="29" t="str" cm="1">
        <f t="array" ref="R24">IFERROR(INDEX(_xlfn.UNIQUE(TRIM(_xlfn.TEXTSPLIT(Table2[[#This Row],[Selection Options]:[Selection Options]],","))),,R$21),"")</f>
        <v/>
      </c>
      <c r="S24" s="29" t="str" cm="1">
        <f t="array" ref="S24">IFERROR(INDEX(_xlfn.UNIQUE(TRIM(_xlfn.TEXTSPLIT(Table2[[#This Row],[Selection Options]:[Selection Options]],","))),,S$21),"")</f>
        <v/>
      </c>
      <c r="T24" s="29" t="str" cm="1">
        <f t="array" ref="T24">IFERROR(INDEX(_xlfn.UNIQUE(TRIM(_xlfn.TEXTSPLIT(Table2[[#This Row],[Selection Options]:[Selection Options]],","))),,T$21),"")</f>
        <v/>
      </c>
      <c r="U24" s="29" t="str" cm="1">
        <f t="array" ref="U24">IFERROR(INDEX(_xlfn.UNIQUE(TRIM(_xlfn.TEXTSPLIT(Table2[[#This Row],[Selection Options]:[Selection Options]],","))),,U$21),"")</f>
        <v/>
      </c>
      <c r="V24" s="29" t="str" cm="1">
        <f t="array" ref="V24">IFERROR(INDEX(_xlfn.UNIQUE(TRIM(_xlfn.TEXTSPLIT(Table2[[#This Row],[Selection Options]:[Selection Options]],","))),,V$21),"")</f>
        <v/>
      </c>
      <c r="W24" s="29" t="str" cm="1">
        <f t="array" ref="W24">IFERROR(INDEX(_xlfn.UNIQUE(TRIM(_xlfn.TEXTSPLIT(Table2[[#This Row],[Selection Options]:[Selection Options]],","))),,W$21),"")</f>
        <v/>
      </c>
      <c r="X24" s="29" t="str" cm="1">
        <f t="array" ref="X24">IFERROR(INDEX(_xlfn.UNIQUE(TRIM(_xlfn.TEXTSPLIT(Table2[[#This Row],[Selection Options]:[Selection Options]],","))),,X$21),"")</f>
        <v/>
      </c>
      <c r="Y24" s="30" cm="1">
        <f t="array" ref="Y24">IF(Table2[[#This Row],[1]]="","",Table2[[#This Row],[Weight]:[Weight]]-(Table2[[#This Row],[Weight]:[Weight]]*((_xlfn.XMATCH(Table2[[#This Row],[1]],Table2[[#This Row],[1]:[11]],0))-1)/(COUNTA(Table2[[#This Row],[1]:[11]])-COUNTBLANK(Table2[[#This Row],[1]:[11]])-1)))</f>
        <v>9.7165991902834013E-3</v>
      </c>
      <c r="Z24" s="30" cm="1">
        <f t="array" ref="Z24">IF(Table2[[#This Row],[2]]="","",Table2[[#This Row],[Weight]:[Weight]]-(Table2[[#This Row],[Weight]:[Weight]]*((_xlfn.XMATCH(Table2[[#This Row],[2]],Table2[[#This Row],[1]:[11]],0))-1)/(COUNTA(Table2[[#This Row],[1]:[11]])-COUNTBLANK(Table2[[#This Row],[1]:[11]])-1)))</f>
        <v>4.8582995951417006E-3</v>
      </c>
      <c r="AA24" s="30" cm="1">
        <f t="array" ref="AA24">IF(Table2[[#This Row],[3]]="","",Table2[[#This Row],[Weight]:[Weight]]-(Table2[[#This Row],[Weight]:[Weight]]*((_xlfn.XMATCH(Table2[[#This Row],[3]],Table2[[#This Row],[1]:[11]],0))-1)/(COUNTA(Table2[[#This Row],[1]:[11]])-COUNTBLANK(Table2[[#This Row],[1]:[11]])-1)))</f>
        <v>0</v>
      </c>
      <c r="AB24" s="30" t="str" cm="1">
        <f t="array" ref="AB24">IF(Table2[[#This Row],[4]]="","",Table2[[#This Row],[Weight]:[Weight]]-(Table2[[#This Row],[Weight]:[Weight]]*((_xlfn.XMATCH(Table2[[#This Row],[4]],Table2[[#This Row],[1]:[11]],0))-1)/(COUNTA(Table2[[#This Row],[1]:[11]])-COUNTBLANK(Table2[[#This Row],[1]:[11]])-1)))</f>
        <v/>
      </c>
      <c r="AC24" s="30" t="str" cm="1">
        <f t="array" ref="AC24">IF(Table2[[#This Row],[5]]="","",Table2[[#This Row],[Weight]:[Weight]]-(Table2[[#This Row],[Weight]:[Weight]]*((_xlfn.XMATCH(Table2[[#This Row],[5]],Table2[[#This Row],[1]:[11]],0))-1)/(COUNTA(Table2[[#This Row],[1]:[11]])-COUNTBLANK(Table2[[#This Row],[1]:[11]])-1)))</f>
        <v/>
      </c>
      <c r="AD24" s="30" t="str" cm="1">
        <f t="array" ref="AD24">IF(Table2[[#This Row],[6]]="","",Table2[[#This Row],[Weight]:[Weight]]-(Table2[[#This Row],[Weight]:[Weight]]*((_xlfn.XMATCH(Table2[[#This Row],[6]],Table2[[#This Row],[1]:[11]],0))-1)/(COUNTA(Table2[[#This Row],[1]:[11]])-COUNTBLANK(Table2[[#This Row],[1]:[11]])-1)))</f>
        <v/>
      </c>
      <c r="AE24" s="30" t="str" cm="1">
        <f t="array" ref="AE24">IF(Table2[[#This Row],[7]]="","",Table2[[#This Row],[Weight]:[Weight]]-(Table2[[#This Row],[Weight]:[Weight]]*((_xlfn.XMATCH(Table2[[#This Row],[7]],Table2[[#This Row],[1]:[11]],0))-1)/(COUNTA(Table2[[#This Row],[1]:[11]])-COUNTBLANK(Table2[[#This Row],[1]:[11]])-1)))</f>
        <v/>
      </c>
      <c r="AF24" s="30" t="str" cm="1">
        <f t="array" ref="AF24">IF(Table2[[#This Row],[8]]="","",Table2[[#This Row],[Weight]:[Weight]]-(Table2[[#This Row],[Weight]:[Weight]]*((_xlfn.XMATCH(Table2[[#This Row],[8]],Table2[[#This Row],[1]:[11]],0))-1)/(COUNTA(Table2[[#This Row],[1]:[11]])-COUNTBLANK(Table2[[#This Row],[1]:[11]])-1)))</f>
        <v/>
      </c>
      <c r="AG24" s="41" t="str" cm="1">
        <f t="array" ref="AG24">IF(Table2[[#This Row],[9]]="","",Table2[[#This Row],[Weight]:[Weight]]-(Table2[[#This Row],[Weight]:[Weight]]*((_xlfn.XMATCH(Table2[[#This Row],[9]],Table2[[#This Row],[1]:[11]],0))-1)/(COUNTA(Table2[[#This Row],[1]:[11]])-COUNTBLANK(Table2[[#This Row],[1]:[11]])-1)))</f>
        <v/>
      </c>
      <c r="AH24" s="41" t="str" cm="1">
        <f t="array" ref="AH24">IF(Table2[[#This Row],[10]]="","",Table2[[#This Row],[Weight]:[Weight]]-(Table2[[#This Row],[Weight]:[Weight]]*((_xlfn.XMATCH(Table2[[#This Row],[10]],Table2[[#This Row],[1]:[11]],0))-1)/(COUNTA(Table2[[#This Row],[1]:[11]])-COUNTBLANK(Table2[[#This Row],[1]:[11]])-1)))</f>
        <v/>
      </c>
      <c r="AI24" s="41" t="str" cm="1">
        <f t="array" ref="AI24">IF(Table2[[#This Row],[11]]="","",Table2[[#This Row],[Weight]:[Weight]]-(Table2[[#This Row],[Weight]:[Weight]]*((_xlfn.XMATCH(Table2[[#This Row],[11]],Table2[[#This Row],[1]:[11]],0))-1)/(COUNTA(Table2[[#This Row],[1]:[11]])-COUNTBLANK(Table2[[#This Row],[1]:[11]])-1)))</f>
        <v/>
      </c>
    </row>
    <row r="25" spans="1:35" ht="72" x14ac:dyDescent="0.2">
      <c r="A25" s="117" t="s">
        <v>123</v>
      </c>
      <c r="B25" s="21" t="s">
        <v>124</v>
      </c>
      <c r="C25" s="204" t="s">
        <v>125</v>
      </c>
      <c r="D25" s="21"/>
      <c r="E25" s="21" t="s">
        <v>55</v>
      </c>
      <c r="F25" s="22" t="s">
        <v>60</v>
      </c>
      <c r="G25" s="23" cm="1">
        <f t="array" ref="G25">_xlfn.IFS(F25="","",F25="No interest",0,F25="Nice to have",1,F25="Useful",2,F25="Important",3,F25="Very important",4,F25="Critical",5,F25="Show stopper",6)</f>
        <v>6</v>
      </c>
      <c r="H25" s="24">
        <f t="shared" ref="H25:H48" si="1">(G25/$G$21)*$F$21</f>
        <v>9.7165991902834013E-3</v>
      </c>
      <c r="I25" s="25" t="s">
        <v>118</v>
      </c>
      <c r="J25" s="37" t="str" cm="1">
        <f t="array" ref="J25">_xlfn.TEXTJOIN(" "&amp;CHAR(10),,TEXT(SUBSTITUTE(Table2[[#This Row],[12]:[22]],".",","),"0,00%"))</f>
        <v>0,0097165991902834 
0,0048582995951417 
0,00%</v>
      </c>
      <c r="K25" s="26" t="s">
        <v>119</v>
      </c>
      <c r="L25" s="27">
        <f>H25-(H25*((MATCH(Table2[[#This Row],[Evaluators Response (SELECT)]],Table2[[#This Row],[1]:[11]],0)-1)/(COUNTA(Table2[[#This Row],[1]:[11]])-COUNTBLANK(Table2[[#This Row],[1]:[11]])-1)))</f>
        <v>9.7165991902834013E-3</v>
      </c>
      <c r="M25" s="28"/>
      <c r="N25" s="41" t="str" cm="1">
        <f t="array" ref="N25">IFERROR(INDEX(_xlfn.UNIQUE(TRIM(_xlfn.TEXTSPLIT(Table2[[#This Row],[Selection Options]:[Selection Options]],","))),,N$21),"")</f>
        <v>1. Extensive functionality available</v>
      </c>
      <c r="O25" s="29" t="str" cm="1">
        <f t="array" ref="O25">IFERROR(INDEX(_xlfn.UNIQUE(TRIM(_xlfn.TEXTSPLIT(Table2[[#This Row],[Selection Options]:[Selection Options]],","))),,O$21),"")</f>
        <v xml:space="preserve">
2. Limited functionality available</v>
      </c>
      <c r="P25" s="29" t="str" cm="1">
        <f t="array" ref="P25">IFERROR(INDEX(_xlfn.UNIQUE(TRIM(_xlfn.TEXTSPLIT(Table2[[#This Row],[Selection Options]:[Selection Options]],","))),,P$21),"")</f>
        <v xml:space="preserve">
3. Functionality not available</v>
      </c>
      <c r="Q25" s="29" t="str" cm="1">
        <f t="array" ref="Q25">IFERROR(INDEX(_xlfn.UNIQUE(TRIM(_xlfn.TEXTSPLIT(Table2[[#This Row],[Selection Options]:[Selection Options]],","))),,Q$21),"")</f>
        <v/>
      </c>
      <c r="R25" s="29" t="str" cm="1">
        <f t="array" ref="R25">IFERROR(INDEX(_xlfn.UNIQUE(TRIM(_xlfn.TEXTSPLIT(Table2[[#This Row],[Selection Options]:[Selection Options]],","))),,R$21),"")</f>
        <v/>
      </c>
      <c r="S25" s="29" t="str" cm="1">
        <f t="array" ref="S25">IFERROR(INDEX(_xlfn.UNIQUE(TRIM(_xlfn.TEXTSPLIT(Table2[[#This Row],[Selection Options]:[Selection Options]],","))),,S$21),"")</f>
        <v/>
      </c>
      <c r="T25" s="29" t="str" cm="1">
        <f t="array" ref="T25">IFERROR(INDEX(_xlfn.UNIQUE(TRIM(_xlfn.TEXTSPLIT(Table2[[#This Row],[Selection Options]:[Selection Options]],","))),,T$21),"")</f>
        <v/>
      </c>
      <c r="U25" s="29" t="str" cm="1">
        <f t="array" ref="U25">IFERROR(INDEX(_xlfn.UNIQUE(TRIM(_xlfn.TEXTSPLIT(Table2[[#This Row],[Selection Options]:[Selection Options]],","))),,U$21),"")</f>
        <v/>
      </c>
      <c r="V25" s="29" t="str" cm="1">
        <f t="array" ref="V25">IFERROR(INDEX(_xlfn.UNIQUE(TRIM(_xlfn.TEXTSPLIT(Table2[[#This Row],[Selection Options]:[Selection Options]],","))),,V$21),"")</f>
        <v/>
      </c>
      <c r="W25" s="29" t="str" cm="1">
        <f t="array" ref="W25">IFERROR(INDEX(_xlfn.UNIQUE(TRIM(_xlfn.TEXTSPLIT(Table2[[#This Row],[Selection Options]:[Selection Options]],","))),,W$21),"")</f>
        <v/>
      </c>
      <c r="X25" s="29" t="str" cm="1">
        <f t="array" ref="X25">IFERROR(INDEX(_xlfn.UNIQUE(TRIM(_xlfn.TEXTSPLIT(Table2[[#This Row],[Selection Options]:[Selection Options]],","))),,X$21),"")</f>
        <v/>
      </c>
      <c r="Y25" s="30" cm="1">
        <f t="array" ref="Y25">IF(Table2[[#This Row],[1]]="","",Table2[[#This Row],[Weight]:[Weight]]-(Table2[[#This Row],[Weight]:[Weight]]*((_xlfn.XMATCH(Table2[[#This Row],[1]],Table2[[#This Row],[1]:[11]],0))-1)/(COUNTA(Table2[[#This Row],[1]:[11]])-COUNTBLANK(Table2[[#This Row],[1]:[11]])-1)))</f>
        <v>9.7165991902834013E-3</v>
      </c>
      <c r="Z25" s="30" cm="1">
        <f t="array" ref="Z25">IF(Table2[[#This Row],[2]]="","",Table2[[#This Row],[Weight]:[Weight]]-(Table2[[#This Row],[Weight]:[Weight]]*((_xlfn.XMATCH(Table2[[#This Row],[2]],Table2[[#This Row],[1]:[11]],0))-1)/(COUNTA(Table2[[#This Row],[1]:[11]])-COUNTBLANK(Table2[[#This Row],[1]:[11]])-1)))</f>
        <v>4.8582995951417006E-3</v>
      </c>
      <c r="AA25" s="30" cm="1">
        <f t="array" ref="AA25">IF(Table2[[#This Row],[3]]="","",Table2[[#This Row],[Weight]:[Weight]]-(Table2[[#This Row],[Weight]:[Weight]]*((_xlfn.XMATCH(Table2[[#This Row],[3]],Table2[[#This Row],[1]:[11]],0))-1)/(COUNTA(Table2[[#This Row],[1]:[11]])-COUNTBLANK(Table2[[#This Row],[1]:[11]])-1)))</f>
        <v>0</v>
      </c>
      <c r="AB25" s="30" t="str" cm="1">
        <f t="array" ref="AB25">IF(Table2[[#This Row],[4]]="","",Table2[[#This Row],[Weight]:[Weight]]-(Table2[[#This Row],[Weight]:[Weight]]*((_xlfn.XMATCH(Table2[[#This Row],[4]],Table2[[#This Row],[1]:[11]],0))-1)/(COUNTA(Table2[[#This Row],[1]:[11]])-COUNTBLANK(Table2[[#This Row],[1]:[11]])-1)))</f>
        <v/>
      </c>
      <c r="AC25" s="30" t="str" cm="1">
        <f t="array" ref="AC25">IF(Table2[[#This Row],[5]]="","",Table2[[#This Row],[Weight]:[Weight]]-(Table2[[#This Row],[Weight]:[Weight]]*((_xlfn.XMATCH(Table2[[#This Row],[5]],Table2[[#This Row],[1]:[11]],0))-1)/(COUNTA(Table2[[#This Row],[1]:[11]])-COUNTBLANK(Table2[[#This Row],[1]:[11]])-1)))</f>
        <v/>
      </c>
      <c r="AD25" s="30" t="str" cm="1">
        <f t="array" ref="AD25">IF(Table2[[#This Row],[6]]="","",Table2[[#This Row],[Weight]:[Weight]]-(Table2[[#This Row],[Weight]:[Weight]]*((_xlfn.XMATCH(Table2[[#This Row],[6]],Table2[[#This Row],[1]:[11]],0))-1)/(COUNTA(Table2[[#This Row],[1]:[11]])-COUNTBLANK(Table2[[#This Row],[1]:[11]])-1)))</f>
        <v/>
      </c>
      <c r="AE25" s="30" t="str" cm="1">
        <f t="array" ref="AE25">IF(Table2[[#This Row],[7]]="","",Table2[[#This Row],[Weight]:[Weight]]-(Table2[[#This Row],[Weight]:[Weight]]*((_xlfn.XMATCH(Table2[[#This Row],[7]],Table2[[#This Row],[1]:[11]],0))-1)/(COUNTA(Table2[[#This Row],[1]:[11]])-COUNTBLANK(Table2[[#This Row],[1]:[11]])-1)))</f>
        <v/>
      </c>
      <c r="AF25" s="30" t="str" cm="1">
        <f t="array" ref="AF25">IF(Table2[[#This Row],[8]]="","",Table2[[#This Row],[Weight]:[Weight]]-(Table2[[#This Row],[Weight]:[Weight]]*((_xlfn.XMATCH(Table2[[#This Row],[8]],Table2[[#This Row],[1]:[11]],0))-1)/(COUNTA(Table2[[#This Row],[1]:[11]])-COUNTBLANK(Table2[[#This Row],[1]:[11]])-1)))</f>
        <v/>
      </c>
      <c r="AG25" s="41" t="str" cm="1">
        <f t="array" ref="AG25">IF(Table2[[#This Row],[9]]="","",Table2[[#This Row],[Weight]:[Weight]]-(Table2[[#This Row],[Weight]:[Weight]]*((_xlfn.XMATCH(Table2[[#This Row],[9]],Table2[[#This Row],[1]:[11]],0))-1)/(COUNTA(Table2[[#This Row],[1]:[11]])-COUNTBLANK(Table2[[#This Row],[1]:[11]])-1)))</f>
        <v/>
      </c>
      <c r="AH25" s="41" t="str" cm="1">
        <f t="array" ref="AH25">IF(Table2[[#This Row],[10]]="","",Table2[[#This Row],[Weight]:[Weight]]-(Table2[[#This Row],[Weight]:[Weight]]*((_xlfn.XMATCH(Table2[[#This Row],[10]],Table2[[#This Row],[1]:[11]],0))-1)/(COUNTA(Table2[[#This Row],[1]:[11]])-COUNTBLANK(Table2[[#This Row],[1]:[11]])-1)))</f>
        <v/>
      </c>
      <c r="AI25" s="41" t="str" cm="1">
        <f t="array" ref="AI25">IF(Table2[[#This Row],[11]]="","",Table2[[#This Row],[Weight]:[Weight]]-(Table2[[#This Row],[Weight]:[Weight]]*((_xlfn.XMATCH(Table2[[#This Row],[11]],Table2[[#This Row],[1]:[11]],0))-1)/(COUNTA(Table2[[#This Row],[1]:[11]])-COUNTBLANK(Table2[[#This Row],[1]:[11]])-1)))</f>
        <v/>
      </c>
    </row>
    <row r="26" spans="1:35" ht="72" x14ac:dyDescent="0.2">
      <c r="A26" s="117" t="s">
        <v>126</v>
      </c>
      <c r="B26" s="21" t="s">
        <v>127</v>
      </c>
      <c r="C26" s="204" t="s">
        <v>128</v>
      </c>
      <c r="D26" s="21"/>
      <c r="E26" s="21" t="s">
        <v>55</v>
      </c>
      <c r="F26" s="22" t="s">
        <v>60</v>
      </c>
      <c r="G26" s="23" cm="1">
        <f t="array" ref="G26">_xlfn.IFS(F26="","",F26="No interest",0,F26="Nice to have",1,F26="Useful",2,F26="Important",3,F26="Very important",4,F26="Critical",5,F26="Show stopper",6)</f>
        <v>6</v>
      </c>
      <c r="H26" s="24">
        <f t="shared" si="1"/>
        <v>9.7165991902834013E-3</v>
      </c>
      <c r="I26" s="25" t="s">
        <v>118</v>
      </c>
      <c r="J26" s="37" t="str" cm="1">
        <f t="array" ref="J26">_xlfn.TEXTJOIN(" "&amp;CHAR(10),,TEXT(SUBSTITUTE(Table2[[#This Row],[12]:[22]],".",","),"0,00%"))</f>
        <v>0,0097165991902834 
0,0048582995951417 
0,00%</v>
      </c>
      <c r="K26" s="26" t="s">
        <v>119</v>
      </c>
      <c r="L26" s="27">
        <f>H26-(H26*((MATCH(Table2[[#This Row],[Evaluators Response (SELECT)]],Table2[[#This Row],[1]:[11]],0)-1)/(COUNTA(Table2[[#This Row],[1]:[11]])-COUNTBLANK(Table2[[#This Row],[1]:[11]])-1)))</f>
        <v>9.7165991902834013E-3</v>
      </c>
      <c r="M26" s="28"/>
      <c r="N26" s="41" t="str" cm="1">
        <f t="array" ref="N26">IFERROR(INDEX(_xlfn.UNIQUE(TRIM(_xlfn.TEXTSPLIT(Table2[[#This Row],[Selection Options]:[Selection Options]],","))),,N$21),"")</f>
        <v>1. Extensive functionality available</v>
      </c>
      <c r="O26" s="29" t="str" cm="1">
        <f t="array" ref="O26">IFERROR(INDEX(_xlfn.UNIQUE(TRIM(_xlfn.TEXTSPLIT(Table2[[#This Row],[Selection Options]:[Selection Options]],","))),,O$21),"")</f>
        <v xml:space="preserve">
2. Limited functionality available</v>
      </c>
      <c r="P26" s="29" t="str" cm="1">
        <f t="array" ref="P26">IFERROR(INDEX(_xlfn.UNIQUE(TRIM(_xlfn.TEXTSPLIT(Table2[[#This Row],[Selection Options]:[Selection Options]],","))),,P$21),"")</f>
        <v xml:space="preserve">
3. Functionality not available</v>
      </c>
      <c r="Q26" s="29" t="str" cm="1">
        <f t="array" ref="Q26">IFERROR(INDEX(_xlfn.UNIQUE(TRIM(_xlfn.TEXTSPLIT(Table2[[#This Row],[Selection Options]:[Selection Options]],","))),,Q$21),"")</f>
        <v/>
      </c>
      <c r="R26" s="29" t="str" cm="1">
        <f t="array" ref="R26">IFERROR(INDEX(_xlfn.UNIQUE(TRIM(_xlfn.TEXTSPLIT(Table2[[#This Row],[Selection Options]:[Selection Options]],","))),,R$21),"")</f>
        <v/>
      </c>
      <c r="S26" s="29" t="str" cm="1">
        <f t="array" ref="S26">IFERROR(INDEX(_xlfn.UNIQUE(TRIM(_xlfn.TEXTSPLIT(Table2[[#This Row],[Selection Options]:[Selection Options]],","))),,S$21),"")</f>
        <v/>
      </c>
      <c r="T26" s="29" t="str" cm="1">
        <f t="array" ref="T26">IFERROR(INDEX(_xlfn.UNIQUE(TRIM(_xlfn.TEXTSPLIT(Table2[[#This Row],[Selection Options]:[Selection Options]],","))),,T$21),"")</f>
        <v/>
      </c>
      <c r="U26" s="29" t="str" cm="1">
        <f t="array" ref="U26">IFERROR(INDEX(_xlfn.UNIQUE(TRIM(_xlfn.TEXTSPLIT(Table2[[#This Row],[Selection Options]:[Selection Options]],","))),,U$21),"")</f>
        <v/>
      </c>
      <c r="V26" s="29" t="str" cm="1">
        <f t="array" ref="V26">IFERROR(INDEX(_xlfn.UNIQUE(TRIM(_xlfn.TEXTSPLIT(Table2[[#This Row],[Selection Options]:[Selection Options]],","))),,V$21),"")</f>
        <v/>
      </c>
      <c r="W26" s="29" t="str" cm="1">
        <f t="array" ref="W26">IFERROR(INDEX(_xlfn.UNIQUE(TRIM(_xlfn.TEXTSPLIT(Table2[[#This Row],[Selection Options]:[Selection Options]],","))),,W$21),"")</f>
        <v/>
      </c>
      <c r="X26" s="29" t="str" cm="1">
        <f t="array" ref="X26">IFERROR(INDEX(_xlfn.UNIQUE(TRIM(_xlfn.TEXTSPLIT(Table2[[#This Row],[Selection Options]:[Selection Options]],","))),,X$21),"")</f>
        <v/>
      </c>
      <c r="Y26" s="30" cm="1">
        <f t="array" ref="Y26">IF(Table2[[#This Row],[1]]="","",Table2[[#This Row],[Weight]:[Weight]]-(Table2[[#This Row],[Weight]:[Weight]]*((_xlfn.XMATCH(Table2[[#This Row],[1]],Table2[[#This Row],[1]:[11]],0))-1)/(COUNTA(Table2[[#This Row],[1]:[11]])-COUNTBLANK(Table2[[#This Row],[1]:[11]])-1)))</f>
        <v>9.7165991902834013E-3</v>
      </c>
      <c r="Z26" s="30" cm="1">
        <f t="array" ref="Z26">IF(Table2[[#This Row],[2]]="","",Table2[[#This Row],[Weight]:[Weight]]-(Table2[[#This Row],[Weight]:[Weight]]*((_xlfn.XMATCH(Table2[[#This Row],[2]],Table2[[#This Row],[1]:[11]],0))-1)/(COUNTA(Table2[[#This Row],[1]:[11]])-COUNTBLANK(Table2[[#This Row],[1]:[11]])-1)))</f>
        <v>4.8582995951417006E-3</v>
      </c>
      <c r="AA26" s="30" cm="1">
        <f t="array" ref="AA26">IF(Table2[[#This Row],[3]]="","",Table2[[#This Row],[Weight]:[Weight]]-(Table2[[#This Row],[Weight]:[Weight]]*((_xlfn.XMATCH(Table2[[#This Row],[3]],Table2[[#This Row],[1]:[11]],0))-1)/(COUNTA(Table2[[#This Row],[1]:[11]])-COUNTBLANK(Table2[[#This Row],[1]:[11]])-1)))</f>
        <v>0</v>
      </c>
      <c r="AB26" s="30" t="str" cm="1">
        <f t="array" ref="AB26">IF(Table2[[#This Row],[4]]="","",Table2[[#This Row],[Weight]:[Weight]]-(Table2[[#This Row],[Weight]:[Weight]]*((_xlfn.XMATCH(Table2[[#This Row],[4]],Table2[[#This Row],[1]:[11]],0))-1)/(COUNTA(Table2[[#This Row],[1]:[11]])-COUNTBLANK(Table2[[#This Row],[1]:[11]])-1)))</f>
        <v/>
      </c>
      <c r="AC26" s="30" t="str" cm="1">
        <f t="array" ref="AC26">IF(Table2[[#This Row],[5]]="","",Table2[[#This Row],[Weight]:[Weight]]-(Table2[[#This Row],[Weight]:[Weight]]*((_xlfn.XMATCH(Table2[[#This Row],[5]],Table2[[#This Row],[1]:[11]],0))-1)/(COUNTA(Table2[[#This Row],[1]:[11]])-COUNTBLANK(Table2[[#This Row],[1]:[11]])-1)))</f>
        <v/>
      </c>
      <c r="AD26" s="30" t="str" cm="1">
        <f t="array" ref="AD26">IF(Table2[[#This Row],[6]]="","",Table2[[#This Row],[Weight]:[Weight]]-(Table2[[#This Row],[Weight]:[Weight]]*((_xlfn.XMATCH(Table2[[#This Row],[6]],Table2[[#This Row],[1]:[11]],0))-1)/(COUNTA(Table2[[#This Row],[1]:[11]])-COUNTBLANK(Table2[[#This Row],[1]:[11]])-1)))</f>
        <v/>
      </c>
      <c r="AE26" s="30" t="str" cm="1">
        <f t="array" ref="AE26">IF(Table2[[#This Row],[7]]="","",Table2[[#This Row],[Weight]:[Weight]]-(Table2[[#This Row],[Weight]:[Weight]]*((_xlfn.XMATCH(Table2[[#This Row],[7]],Table2[[#This Row],[1]:[11]],0))-1)/(COUNTA(Table2[[#This Row],[1]:[11]])-COUNTBLANK(Table2[[#This Row],[1]:[11]])-1)))</f>
        <v/>
      </c>
      <c r="AF26" s="30" t="str" cm="1">
        <f t="array" ref="AF26">IF(Table2[[#This Row],[8]]="","",Table2[[#This Row],[Weight]:[Weight]]-(Table2[[#This Row],[Weight]:[Weight]]*((_xlfn.XMATCH(Table2[[#This Row],[8]],Table2[[#This Row],[1]:[11]],0))-1)/(COUNTA(Table2[[#This Row],[1]:[11]])-COUNTBLANK(Table2[[#This Row],[1]:[11]])-1)))</f>
        <v/>
      </c>
      <c r="AG26" s="41" t="str" cm="1">
        <f t="array" ref="AG26">IF(Table2[[#This Row],[9]]="","",Table2[[#This Row],[Weight]:[Weight]]-(Table2[[#This Row],[Weight]:[Weight]]*((_xlfn.XMATCH(Table2[[#This Row],[9]],Table2[[#This Row],[1]:[11]],0))-1)/(COUNTA(Table2[[#This Row],[1]:[11]])-COUNTBLANK(Table2[[#This Row],[1]:[11]])-1)))</f>
        <v/>
      </c>
      <c r="AH26" s="41" t="str" cm="1">
        <f t="array" ref="AH26">IF(Table2[[#This Row],[10]]="","",Table2[[#This Row],[Weight]:[Weight]]-(Table2[[#This Row],[Weight]:[Weight]]*((_xlfn.XMATCH(Table2[[#This Row],[10]],Table2[[#This Row],[1]:[11]],0))-1)/(COUNTA(Table2[[#This Row],[1]:[11]])-COUNTBLANK(Table2[[#This Row],[1]:[11]])-1)))</f>
        <v/>
      </c>
      <c r="AI26" s="41" t="str" cm="1">
        <f t="array" ref="AI26">IF(Table2[[#This Row],[11]]="","",Table2[[#This Row],[Weight]:[Weight]]-(Table2[[#This Row],[Weight]:[Weight]]*((_xlfn.XMATCH(Table2[[#This Row],[11]],Table2[[#This Row],[1]:[11]],0))-1)/(COUNTA(Table2[[#This Row],[1]:[11]])-COUNTBLANK(Table2[[#This Row],[1]:[11]])-1)))</f>
        <v/>
      </c>
    </row>
    <row r="27" spans="1:35" ht="72" x14ac:dyDescent="0.2">
      <c r="A27" s="117" t="s">
        <v>129</v>
      </c>
      <c r="B27" s="21" t="s">
        <v>130</v>
      </c>
      <c r="C27" s="204" t="s">
        <v>131</v>
      </c>
      <c r="D27" s="21"/>
      <c r="E27" s="21" t="s">
        <v>55</v>
      </c>
      <c r="F27" s="22" t="s">
        <v>60</v>
      </c>
      <c r="G27" s="23" cm="1">
        <f t="array" ref="G27">_xlfn.IFS(F27="","",F27="No interest",0,F27="Nice to have",1,F27="Useful",2,F27="Important",3,F27="Very important",4,F27="Critical",5,F27="Show stopper",6)</f>
        <v>6</v>
      </c>
      <c r="H27" s="24">
        <f t="shared" si="1"/>
        <v>9.7165991902834013E-3</v>
      </c>
      <c r="I27" s="25" t="s">
        <v>118</v>
      </c>
      <c r="J27" s="37" t="str" cm="1">
        <f t="array" ref="J27">_xlfn.TEXTJOIN(" "&amp;CHAR(10),,TEXT(SUBSTITUTE(Table2[[#This Row],[12]:[22]],".",","),"0,00%"))</f>
        <v>0,0097165991902834 
0,0048582995951417 
0,00%</v>
      </c>
      <c r="K27" s="26" t="s">
        <v>119</v>
      </c>
      <c r="L27" s="27">
        <f>H27-(H27*((MATCH(Table2[[#This Row],[Evaluators Response (SELECT)]],Table2[[#This Row],[1]:[11]],0)-1)/(COUNTA(Table2[[#This Row],[1]:[11]])-COUNTBLANK(Table2[[#This Row],[1]:[11]])-1)))</f>
        <v>9.7165991902834013E-3</v>
      </c>
      <c r="M27" s="28"/>
      <c r="N27" s="41" t="str" cm="1">
        <f t="array" ref="N27">IFERROR(INDEX(_xlfn.UNIQUE(TRIM(_xlfn.TEXTSPLIT(Table2[[#This Row],[Selection Options]:[Selection Options]],","))),,N$21),"")</f>
        <v>1. Extensive functionality available</v>
      </c>
      <c r="O27" s="29" t="str" cm="1">
        <f t="array" ref="O27">IFERROR(INDEX(_xlfn.UNIQUE(TRIM(_xlfn.TEXTSPLIT(Table2[[#This Row],[Selection Options]:[Selection Options]],","))),,O$21),"")</f>
        <v xml:space="preserve">
2. Limited functionality available</v>
      </c>
      <c r="P27" s="29" t="str" cm="1">
        <f t="array" ref="P27">IFERROR(INDEX(_xlfn.UNIQUE(TRIM(_xlfn.TEXTSPLIT(Table2[[#This Row],[Selection Options]:[Selection Options]],","))),,P$21),"")</f>
        <v xml:space="preserve">
3. Functionality not available</v>
      </c>
      <c r="Q27" s="29" t="str" cm="1">
        <f t="array" ref="Q27">IFERROR(INDEX(_xlfn.UNIQUE(TRIM(_xlfn.TEXTSPLIT(Table2[[#This Row],[Selection Options]:[Selection Options]],","))),,Q$21),"")</f>
        <v/>
      </c>
      <c r="R27" s="29" t="str" cm="1">
        <f t="array" ref="R27">IFERROR(INDEX(_xlfn.UNIQUE(TRIM(_xlfn.TEXTSPLIT(Table2[[#This Row],[Selection Options]:[Selection Options]],","))),,R$21),"")</f>
        <v/>
      </c>
      <c r="S27" s="29" t="str" cm="1">
        <f t="array" ref="S27">IFERROR(INDEX(_xlfn.UNIQUE(TRIM(_xlfn.TEXTSPLIT(Table2[[#This Row],[Selection Options]:[Selection Options]],","))),,S$21),"")</f>
        <v/>
      </c>
      <c r="T27" s="29" t="str" cm="1">
        <f t="array" ref="T27">IFERROR(INDEX(_xlfn.UNIQUE(TRIM(_xlfn.TEXTSPLIT(Table2[[#This Row],[Selection Options]:[Selection Options]],","))),,T$21),"")</f>
        <v/>
      </c>
      <c r="U27" s="29" t="str" cm="1">
        <f t="array" ref="U27">IFERROR(INDEX(_xlfn.UNIQUE(TRIM(_xlfn.TEXTSPLIT(Table2[[#This Row],[Selection Options]:[Selection Options]],","))),,U$21),"")</f>
        <v/>
      </c>
      <c r="V27" s="29" t="str" cm="1">
        <f t="array" ref="V27">IFERROR(INDEX(_xlfn.UNIQUE(TRIM(_xlfn.TEXTSPLIT(Table2[[#This Row],[Selection Options]:[Selection Options]],","))),,V$21),"")</f>
        <v/>
      </c>
      <c r="W27" s="29" t="str" cm="1">
        <f t="array" ref="W27">IFERROR(INDEX(_xlfn.UNIQUE(TRIM(_xlfn.TEXTSPLIT(Table2[[#This Row],[Selection Options]:[Selection Options]],","))),,W$21),"")</f>
        <v/>
      </c>
      <c r="X27" s="29" t="str" cm="1">
        <f t="array" ref="X27">IFERROR(INDEX(_xlfn.UNIQUE(TRIM(_xlfn.TEXTSPLIT(Table2[[#This Row],[Selection Options]:[Selection Options]],","))),,X$21),"")</f>
        <v/>
      </c>
      <c r="Y27" s="30" cm="1">
        <f t="array" ref="Y27">IF(Table2[[#This Row],[1]]="","",Table2[[#This Row],[Weight]:[Weight]]-(Table2[[#This Row],[Weight]:[Weight]]*((_xlfn.XMATCH(Table2[[#This Row],[1]],Table2[[#This Row],[1]:[11]],0))-1)/(COUNTA(Table2[[#This Row],[1]:[11]])-COUNTBLANK(Table2[[#This Row],[1]:[11]])-1)))</f>
        <v>9.7165991902834013E-3</v>
      </c>
      <c r="Z27" s="30" cm="1">
        <f t="array" ref="Z27">IF(Table2[[#This Row],[2]]="","",Table2[[#This Row],[Weight]:[Weight]]-(Table2[[#This Row],[Weight]:[Weight]]*((_xlfn.XMATCH(Table2[[#This Row],[2]],Table2[[#This Row],[1]:[11]],0))-1)/(COUNTA(Table2[[#This Row],[1]:[11]])-COUNTBLANK(Table2[[#This Row],[1]:[11]])-1)))</f>
        <v>4.8582995951417006E-3</v>
      </c>
      <c r="AA27" s="30" cm="1">
        <f t="array" ref="AA27">IF(Table2[[#This Row],[3]]="","",Table2[[#This Row],[Weight]:[Weight]]-(Table2[[#This Row],[Weight]:[Weight]]*((_xlfn.XMATCH(Table2[[#This Row],[3]],Table2[[#This Row],[1]:[11]],0))-1)/(COUNTA(Table2[[#This Row],[1]:[11]])-COUNTBLANK(Table2[[#This Row],[1]:[11]])-1)))</f>
        <v>0</v>
      </c>
      <c r="AB27" s="30" t="str" cm="1">
        <f t="array" ref="AB27">IF(Table2[[#This Row],[4]]="","",Table2[[#This Row],[Weight]:[Weight]]-(Table2[[#This Row],[Weight]:[Weight]]*((_xlfn.XMATCH(Table2[[#This Row],[4]],Table2[[#This Row],[1]:[11]],0))-1)/(COUNTA(Table2[[#This Row],[1]:[11]])-COUNTBLANK(Table2[[#This Row],[1]:[11]])-1)))</f>
        <v/>
      </c>
      <c r="AC27" s="30" t="str" cm="1">
        <f t="array" ref="AC27">IF(Table2[[#This Row],[5]]="","",Table2[[#This Row],[Weight]:[Weight]]-(Table2[[#This Row],[Weight]:[Weight]]*((_xlfn.XMATCH(Table2[[#This Row],[5]],Table2[[#This Row],[1]:[11]],0))-1)/(COUNTA(Table2[[#This Row],[1]:[11]])-COUNTBLANK(Table2[[#This Row],[1]:[11]])-1)))</f>
        <v/>
      </c>
      <c r="AD27" s="30" t="str" cm="1">
        <f t="array" ref="AD27">IF(Table2[[#This Row],[6]]="","",Table2[[#This Row],[Weight]:[Weight]]-(Table2[[#This Row],[Weight]:[Weight]]*((_xlfn.XMATCH(Table2[[#This Row],[6]],Table2[[#This Row],[1]:[11]],0))-1)/(COUNTA(Table2[[#This Row],[1]:[11]])-COUNTBLANK(Table2[[#This Row],[1]:[11]])-1)))</f>
        <v/>
      </c>
      <c r="AE27" s="30" t="str" cm="1">
        <f t="array" ref="AE27">IF(Table2[[#This Row],[7]]="","",Table2[[#This Row],[Weight]:[Weight]]-(Table2[[#This Row],[Weight]:[Weight]]*((_xlfn.XMATCH(Table2[[#This Row],[7]],Table2[[#This Row],[1]:[11]],0))-1)/(COUNTA(Table2[[#This Row],[1]:[11]])-COUNTBLANK(Table2[[#This Row],[1]:[11]])-1)))</f>
        <v/>
      </c>
      <c r="AF27" s="30" t="str" cm="1">
        <f t="array" ref="AF27">IF(Table2[[#This Row],[8]]="","",Table2[[#This Row],[Weight]:[Weight]]-(Table2[[#This Row],[Weight]:[Weight]]*((_xlfn.XMATCH(Table2[[#This Row],[8]],Table2[[#This Row],[1]:[11]],0))-1)/(COUNTA(Table2[[#This Row],[1]:[11]])-COUNTBLANK(Table2[[#This Row],[1]:[11]])-1)))</f>
        <v/>
      </c>
      <c r="AG27" s="41" t="str" cm="1">
        <f t="array" ref="AG27">IF(Table2[[#This Row],[9]]="","",Table2[[#This Row],[Weight]:[Weight]]-(Table2[[#This Row],[Weight]:[Weight]]*((_xlfn.XMATCH(Table2[[#This Row],[9]],Table2[[#This Row],[1]:[11]],0))-1)/(COUNTA(Table2[[#This Row],[1]:[11]])-COUNTBLANK(Table2[[#This Row],[1]:[11]])-1)))</f>
        <v/>
      </c>
      <c r="AH27" s="41" t="str" cm="1">
        <f t="array" ref="AH27">IF(Table2[[#This Row],[10]]="","",Table2[[#This Row],[Weight]:[Weight]]-(Table2[[#This Row],[Weight]:[Weight]]*((_xlfn.XMATCH(Table2[[#This Row],[10]],Table2[[#This Row],[1]:[11]],0))-1)/(COUNTA(Table2[[#This Row],[1]:[11]])-COUNTBLANK(Table2[[#This Row],[1]:[11]])-1)))</f>
        <v/>
      </c>
      <c r="AI27" s="41" t="str" cm="1">
        <f t="array" ref="AI27">IF(Table2[[#This Row],[11]]="","",Table2[[#This Row],[Weight]:[Weight]]-(Table2[[#This Row],[Weight]:[Weight]]*((_xlfn.XMATCH(Table2[[#This Row],[11]],Table2[[#This Row],[1]:[11]],0))-1)/(COUNTA(Table2[[#This Row],[1]:[11]])-COUNTBLANK(Table2[[#This Row],[1]:[11]])-1)))</f>
        <v/>
      </c>
    </row>
    <row r="28" spans="1:35" ht="72" x14ac:dyDescent="0.2">
      <c r="A28" s="117" t="s">
        <v>132</v>
      </c>
      <c r="B28" s="21" t="s">
        <v>133</v>
      </c>
      <c r="C28" s="204" t="s">
        <v>134</v>
      </c>
      <c r="D28" s="21"/>
      <c r="E28" s="21" t="s">
        <v>55</v>
      </c>
      <c r="F28" s="22" t="s">
        <v>60</v>
      </c>
      <c r="G28" s="23" cm="1">
        <f t="array" ref="G28">_xlfn.IFS(F28="","",F28="No interest",0,F28="Nice to have",1,F28="Useful",2,F28="Important",3,F28="Very important",4,F28="Critical",5,F28="Show stopper",6)</f>
        <v>6</v>
      </c>
      <c r="H28" s="24">
        <f t="shared" si="1"/>
        <v>9.7165991902834013E-3</v>
      </c>
      <c r="I28" s="25" t="s">
        <v>118</v>
      </c>
      <c r="J28" s="37" t="str" cm="1">
        <f t="array" ref="J28">_xlfn.TEXTJOIN(" "&amp;CHAR(10),,TEXT(SUBSTITUTE(Table2[[#This Row],[12]:[22]],".",","),"0,00%"))</f>
        <v>0,0097165991902834 
0,0048582995951417 
0,00%</v>
      </c>
      <c r="K28" s="26" t="s">
        <v>119</v>
      </c>
      <c r="L28" s="27">
        <f>H28-(H28*((MATCH(Table2[[#This Row],[Evaluators Response (SELECT)]],Table2[[#This Row],[1]:[11]],0)-1)/(COUNTA(Table2[[#This Row],[1]:[11]])-COUNTBLANK(Table2[[#This Row],[1]:[11]])-1)))</f>
        <v>9.7165991902834013E-3</v>
      </c>
      <c r="M28" s="28"/>
      <c r="N28" s="41" t="str" cm="1">
        <f t="array" ref="N28">IFERROR(INDEX(_xlfn.UNIQUE(TRIM(_xlfn.TEXTSPLIT(Table2[[#This Row],[Selection Options]:[Selection Options]],","))),,N$21),"")</f>
        <v>1. Extensive functionality available</v>
      </c>
      <c r="O28" s="29" t="str" cm="1">
        <f t="array" ref="O28">IFERROR(INDEX(_xlfn.UNIQUE(TRIM(_xlfn.TEXTSPLIT(Table2[[#This Row],[Selection Options]:[Selection Options]],","))),,O$21),"")</f>
        <v xml:space="preserve">
2. Limited functionality available</v>
      </c>
      <c r="P28" s="29" t="str" cm="1">
        <f t="array" ref="P28">IFERROR(INDEX(_xlfn.UNIQUE(TRIM(_xlfn.TEXTSPLIT(Table2[[#This Row],[Selection Options]:[Selection Options]],","))),,P$21),"")</f>
        <v xml:space="preserve">
3. Functionality not available</v>
      </c>
      <c r="Q28" s="29" t="str" cm="1">
        <f t="array" ref="Q28">IFERROR(INDEX(_xlfn.UNIQUE(TRIM(_xlfn.TEXTSPLIT(Table2[[#This Row],[Selection Options]:[Selection Options]],","))),,Q$21),"")</f>
        <v/>
      </c>
      <c r="R28" s="29" t="str" cm="1">
        <f t="array" ref="R28">IFERROR(INDEX(_xlfn.UNIQUE(TRIM(_xlfn.TEXTSPLIT(Table2[[#This Row],[Selection Options]:[Selection Options]],","))),,R$21),"")</f>
        <v/>
      </c>
      <c r="S28" s="29" t="str" cm="1">
        <f t="array" ref="S28">IFERROR(INDEX(_xlfn.UNIQUE(TRIM(_xlfn.TEXTSPLIT(Table2[[#This Row],[Selection Options]:[Selection Options]],","))),,S$21),"")</f>
        <v/>
      </c>
      <c r="T28" s="29" t="str" cm="1">
        <f t="array" ref="T28">IFERROR(INDEX(_xlfn.UNIQUE(TRIM(_xlfn.TEXTSPLIT(Table2[[#This Row],[Selection Options]:[Selection Options]],","))),,T$21),"")</f>
        <v/>
      </c>
      <c r="U28" s="29" t="str" cm="1">
        <f t="array" ref="U28">IFERROR(INDEX(_xlfn.UNIQUE(TRIM(_xlfn.TEXTSPLIT(Table2[[#This Row],[Selection Options]:[Selection Options]],","))),,U$21),"")</f>
        <v/>
      </c>
      <c r="V28" s="29" t="str" cm="1">
        <f t="array" ref="V28">IFERROR(INDEX(_xlfn.UNIQUE(TRIM(_xlfn.TEXTSPLIT(Table2[[#This Row],[Selection Options]:[Selection Options]],","))),,V$21),"")</f>
        <v/>
      </c>
      <c r="W28" s="29" t="str" cm="1">
        <f t="array" ref="W28">IFERROR(INDEX(_xlfn.UNIQUE(TRIM(_xlfn.TEXTSPLIT(Table2[[#This Row],[Selection Options]:[Selection Options]],","))),,W$21),"")</f>
        <v/>
      </c>
      <c r="X28" s="29" t="str" cm="1">
        <f t="array" ref="X28">IFERROR(INDEX(_xlfn.UNIQUE(TRIM(_xlfn.TEXTSPLIT(Table2[[#This Row],[Selection Options]:[Selection Options]],","))),,X$21),"")</f>
        <v/>
      </c>
      <c r="Y28" s="30" cm="1">
        <f t="array" ref="Y28">IF(Table2[[#This Row],[1]]="","",Table2[[#This Row],[Weight]:[Weight]]-(Table2[[#This Row],[Weight]:[Weight]]*((_xlfn.XMATCH(Table2[[#This Row],[1]],Table2[[#This Row],[1]:[11]],0))-1)/(COUNTA(Table2[[#This Row],[1]:[11]])-COUNTBLANK(Table2[[#This Row],[1]:[11]])-1)))</f>
        <v>9.7165991902834013E-3</v>
      </c>
      <c r="Z28" s="30" cm="1">
        <f t="array" ref="Z28">IF(Table2[[#This Row],[2]]="","",Table2[[#This Row],[Weight]:[Weight]]-(Table2[[#This Row],[Weight]:[Weight]]*((_xlfn.XMATCH(Table2[[#This Row],[2]],Table2[[#This Row],[1]:[11]],0))-1)/(COUNTA(Table2[[#This Row],[1]:[11]])-COUNTBLANK(Table2[[#This Row],[1]:[11]])-1)))</f>
        <v>4.8582995951417006E-3</v>
      </c>
      <c r="AA28" s="30" cm="1">
        <f t="array" ref="AA28">IF(Table2[[#This Row],[3]]="","",Table2[[#This Row],[Weight]:[Weight]]-(Table2[[#This Row],[Weight]:[Weight]]*((_xlfn.XMATCH(Table2[[#This Row],[3]],Table2[[#This Row],[1]:[11]],0))-1)/(COUNTA(Table2[[#This Row],[1]:[11]])-COUNTBLANK(Table2[[#This Row],[1]:[11]])-1)))</f>
        <v>0</v>
      </c>
      <c r="AB28" s="30" t="str" cm="1">
        <f t="array" ref="AB28">IF(Table2[[#This Row],[4]]="","",Table2[[#This Row],[Weight]:[Weight]]-(Table2[[#This Row],[Weight]:[Weight]]*((_xlfn.XMATCH(Table2[[#This Row],[4]],Table2[[#This Row],[1]:[11]],0))-1)/(COUNTA(Table2[[#This Row],[1]:[11]])-COUNTBLANK(Table2[[#This Row],[1]:[11]])-1)))</f>
        <v/>
      </c>
      <c r="AC28" s="30" t="str" cm="1">
        <f t="array" ref="AC28">IF(Table2[[#This Row],[5]]="","",Table2[[#This Row],[Weight]:[Weight]]-(Table2[[#This Row],[Weight]:[Weight]]*((_xlfn.XMATCH(Table2[[#This Row],[5]],Table2[[#This Row],[1]:[11]],0))-1)/(COUNTA(Table2[[#This Row],[1]:[11]])-COUNTBLANK(Table2[[#This Row],[1]:[11]])-1)))</f>
        <v/>
      </c>
      <c r="AD28" s="30" t="str" cm="1">
        <f t="array" ref="AD28">IF(Table2[[#This Row],[6]]="","",Table2[[#This Row],[Weight]:[Weight]]-(Table2[[#This Row],[Weight]:[Weight]]*((_xlfn.XMATCH(Table2[[#This Row],[6]],Table2[[#This Row],[1]:[11]],0))-1)/(COUNTA(Table2[[#This Row],[1]:[11]])-COUNTBLANK(Table2[[#This Row],[1]:[11]])-1)))</f>
        <v/>
      </c>
      <c r="AE28" s="30" t="str" cm="1">
        <f t="array" ref="AE28">IF(Table2[[#This Row],[7]]="","",Table2[[#This Row],[Weight]:[Weight]]-(Table2[[#This Row],[Weight]:[Weight]]*((_xlfn.XMATCH(Table2[[#This Row],[7]],Table2[[#This Row],[1]:[11]],0))-1)/(COUNTA(Table2[[#This Row],[1]:[11]])-COUNTBLANK(Table2[[#This Row],[1]:[11]])-1)))</f>
        <v/>
      </c>
      <c r="AF28" s="30" t="str" cm="1">
        <f t="array" ref="AF28">IF(Table2[[#This Row],[8]]="","",Table2[[#This Row],[Weight]:[Weight]]-(Table2[[#This Row],[Weight]:[Weight]]*((_xlfn.XMATCH(Table2[[#This Row],[8]],Table2[[#This Row],[1]:[11]],0))-1)/(COUNTA(Table2[[#This Row],[1]:[11]])-COUNTBLANK(Table2[[#This Row],[1]:[11]])-1)))</f>
        <v/>
      </c>
      <c r="AG28" s="41" t="str" cm="1">
        <f t="array" ref="AG28">IF(Table2[[#This Row],[9]]="","",Table2[[#This Row],[Weight]:[Weight]]-(Table2[[#This Row],[Weight]:[Weight]]*((_xlfn.XMATCH(Table2[[#This Row],[9]],Table2[[#This Row],[1]:[11]],0))-1)/(COUNTA(Table2[[#This Row],[1]:[11]])-COUNTBLANK(Table2[[#This Row],[1]:[11]])-1)))</f>
        <v/>
      </c>
      <c r="AH28" s="41" t="str" cm="1">
        <f t="array" ref="AH28">IF(Table2[[#This Row],[10]]="","",Table2[[#This Row],[Weight]:[Weight]]-(Table2[[#This Row],[Weight]:[Weight]]*((_xlfn.XMATCH(Table2[[#This Row],[10]],Table2[[#This Row],[1]:[11]],0))-1)/(COUNTA(Table2[[#This Row],[1]:[11]])-COUNTBLANK(Table2[[#This Row],[1]:[11]])-1)))</f>
        <v/>
      </c>
      <c r="AI28" s="41" t="str" cm="1">
        <f t="array" ref="AI28">IF(Table2[[#This Row],[11]]="","",Table2[[#This Row],[Weight]:[Weight]]-(Table2[[#This Row],[Weight]:[Weight]]*((_xlfn.XMATCH(Table2[[#This Row],[11]],Table2[[#This Row],[1]:[11]],0))-1)/(COUNTA(Table2[[#This Row],[1]:[11]])-COUNTBLANK(Table2[[#This Row],[1]:[11]])-1)))</f>
        <v/>
      </c>
    </row>
    <row r="29" spans="1:35" ht="72" x14ac:dyDescent="0.2">
      <c r="A29" s="117" t="s">
        <v>135</v>
      </c>
      <c r="B29" s="21" t="s">
        <v>136</v>
      </c>
      <c r="C29" s="204" t="s">
        <v>137</v>
      </c>
      <c r="D29" s="21"/>
      <c r="E29" s="21" t="s">
        <v>55</v>
      </c>
      <c r="F29" s="22" t="s">
        <v>106</v>
      </c>
      <c r="G29" s="23" cm="1">
        <f t="array" ref="G29">_xlfn.IFS(F29="","",F29="No interest",0,F29="Nice to have",1,F29="Useful",2,F29="Important",3,F29="Very important",4,F29="Critical",5,F29="Show stopper",6)</f>
        <v>5</v>
      </c>
      <c r="H29" s="24">
        <f t="shared" si="1"/>
        <v>8.0971659919028341E-3</v>
      </c>
      <c r="I29" s="25" t="s">
        <v>118</v>
      </c>
      <c r="J29" s="37" t="str" cm="1">
        <f t="array" ref="J29">_xlfn.TEXTJOIN(" "&amp;CHAR(10),,TEXT(SUBSTITUTE(Table2[[#This Row],[12]:[22]],".",","),"0,00%"))</f>
        <v>0,00809716599190283 
0,00404858299595142 
0,00%</v>
      </c>
      <c r="K29" s="26" t="s">
        <v>119</v>
      </c>
      <c r="L29" s="27">
        <f>H29-(H29*((MATCH(Table2[[#This Row],[Evaluators Response (SELECT)]],Table2[[#This Row],[1]:[11]],0)-1)/(COUNTA(Table2[[#This Row],[1]:[11]])-COUNTBLANK(Table2[[#This Row],[1]:[11]])-1)))</f>
        <v>8.0971659919028341E-3</v>
      </c>
      <c r="M29" s="28"/>
      <c r="N29" s="41" t="str" cm="1">
        <f t="array" ref="N29">IFERROR(INDEX(_xlfn.UNIQUE(TRIM(_xlfn.TEXTSPLIT(Table2[[#This Row],[Selection Options]:[Selection Options]],","))),,N$21),"")</f>
        <v>1. Extensive functionality available</v>
      </c>
      <c r="O29" s="29" t="str" cm="1">
        <f t="array" ref="O29">IFERROR(INDEX(_xlfn.UNIQUE(TRIM(_xlfn.TEXTSPLIT(Table2[[#This Row],[Selection Options]:[Selection Options]],","))),,O$21),"")</f>
        <v xml:space="preserve">
2. Limited functionality available</v>
      </c>
      <c r="P29" s="29" t="str" cm="1">
        <f t="array" ref="P29">IFERROR(INDEX(_xlfn.UNIQUE(TRIM(_xlfn.TEXTSPLIT(Table2[[#This Row],[Selection Options]:[Selection Options]],","))),,P$21),"")</f>
        <v xml:space="preserve">
3. Functionality not available</v>
      </c>
      <c r="Q29" s="29" t="str" cm="1">
        <f t="array" ref="Q29">IFERROR(INDEX(_xlfn.UNIQUE(TRIM(_xlfn.TEXTSPLIT(Table2[[#This Row],[Selection Options]:[Selection Options]],","))),,Q$21),"")</f>
        <v/>
      </c>
      <c r="R29" s="29" t="str" cm="1">
        <f t="array" ref="R29">IFERROR(INDEX(_xlfn.UNIQUE(TRIM(_xlfn.TEXTSPLIT(Table2[[#This Row],[Selection Options]:[Selection Options]],","))),,R$21),"")</f>
        <v/>
      </c>
      <c r="S29" s="29" t="str" cm="1">
        <f t="array" ref="S29">IFERROR(INDEX(_xlfn.UNIQUE(TRIM(_xlfn.TEXTSPLIT(Table2[[#This Row],[Selection Options]:[Selection Options]],","))),,S$21),"")</f>
        <v/>
      </c>
      <c r="T29" s="29" t="str" cm="1">
        <f t="array" ref="T29">IFERROR(INDEX(_xlfn.UNIQUE(TRIM(_xlfn.TEXTSPLIT(Table2[[#This Row],[Selection Options]:[Selection Options]],","))),,T$21),"")</f>
        <v/>
      </c>
      <c r="U29" s="29" t="str" cm="1">
        <f t="array" ref="U29">IFERROR(INDEX(_xlfn.UNIQUE(TRIM(_xlfn.TEXTSPLIT(Table2[[#This Row],[Selection Options]:[Selection Options]],","))),,U$21),"")</f>
        <v/>
      </c>
      <c r="V29" s="29" t="str" cm="1">
        <f t="array" ref="V29">IFERROR(INDEX(_xlfn.UNIQUE(TRIM(_xlfn.TEXTSPLIT(Table2[[#This Row],[Selection Options]:[Selection Options]],","))),,V$21),"")</f>
        <v/>
      </c>
      <c r="W29" s="29" t="str" cm="1">
        <f t="array" ref="W29">IFERROR(INDEX(_xlfn.UNIQUE(TRIM(_xlfn.TEXTSPLIT(Table2[[#This Row],[Selection Options]:[Selection Options]],","))),,W$21),"")</f>
        <v/>
      </c>
      <c r="X29" s="29" t="str" cm="1">
        <f t="array" ref="X29">IFERROR(INDEX(_xlfn.UNIQUE(TRIM(_xlfn.TEXTSPLIT(Table2[[#This Row],[Selection Options]:[Selection Options]],","))),,X$21),"")</f>
        <v/>
      </c>
      <c r="Y29" s="30" cm="1">
        <f t="array" ref="Y29">IF(Table2[[#This Row],[1]]="","",Table2[[#This Row],[Weight]:[Weight]]-(Table2[[#This Row],[Weight]:[Weight]]*((_xlfn.XMATCH(Table2[[#This Row],[1]],Table2[[#This Row],[1]:[11]],0))-1)/(COUNTA(Table2[[#This Row],[1]:[11]])-COUNTBLANK(Table2[[#This Row],[1]:[11]])-1)))</f>
        <v>8.0971659919028341E-3</v>
      </c>
      <c r="Z29" s="30" cm="1">
        <f t="array" ref="Z29">IF(Table2[[#This Row],[2]]="","",Table2[[#This Row],[Weight]:[Weight]]-(Table2[[#This Row],[Weight]:[Weight]]*((_xlfn.XMATCH(Table2[[#This Row],[2]],Table2[[#This Row],[1]:[11]],0))-1)/(COUNTA(Table2[[#This Row],[1]:[11]])-COUNTBLANK(Table2[[#This Row],[1]:[11]])-1)))</f>
        <v>4.048582995951417E-3</v>
      </c>
      <c r="AA29" s="30" cm="1">
        <f t="array" ref="AA29">IF(Table2[[#This Row],[3]]="","",Table2[[#This Row],[Weight]:[Weight]]-(Table2[[#This Row],[Weight]:[Weight]]*((_xlfn.XMATCH(Table2[[#This Row],[3]],Table2[[#This Row],[1]:[11]],0))-1)/(COUNTA(Table2[[#This Row],[1]:[11]])-COUNTBLANK(Table2[[#This Row],[1]:[11]])-1)))</f>
        <v>0</v>
      </c>
      <c r="AB29" s="30" t="str" cm="1">
        <f t="array" ref="AB29">IF(Table2[[#This Row],[4]]="","",Table2[[#This Row],[Weight]:[Weight]]-(Table2[[#This Row],[Weight]:[Weight]]*((_xlfn.XMATCH(Table2[[#This Row],[4]],Table2[[#This Row],[1]:[11]],0))-1)/(COUNTA(Table2[[#This Row],[1]:[11]])-COUNTBLANK(Table2[[#This Row],[1]:[11]])-1)))</f>
        <v/>
      </c>
      <c r="AC29" s="30" t="str" cm="1">
        <f t="array" ref="AC29">IF(Table2[[#This Row],[5]]="","",Table2[[#This Row],[Weight]:[Weight]]-(Table2[[#This Row],[Weight]:[Weight]]*((_xlfn.XMATCH(Table2[[#This Row],[5]],Table2[[#This Row],[1]:[11]],0))-1)/(COUNTA(Table2[[#This Row],[1]:[11]])-COUNTBLANK(Table2[[#This Row],[1]:[11]])-1)))</f>
        <v/>
      </c>
      <c r="AD29" s="30" t="str" cm="1">
        <f t="array" ref="AD29">IF(Table2[[#This Row],[6]]="","",Table2[[#This Row],[Weight]:[Weight]]-(Table2[[#This Row],[Weight]:[Weight]]*((_xlfn.XMATCH(Table2[[#This Row],[6]],Table2[[#This Row],[1]:[11]],0))-1)/(COUNTA(Table2[[#This Row],[1]:[11]])-COUNTBLANK(Table2[[#This Row],[1]:[11]])-1)))</f>
        <v/>
      </c>
      <c r="AE29" s="30" t="str" cm="1">
        <f t="array" ref="AE29">IF(Table2[[#This Row],[7]]="","",Table2[[#This Row],[Weight]:[Weight]]-(Table2[[#This Row],[Weight]:[Weight]]*((_xlfn.XMATCH(Table2[[#This Row],[7]],Table2[[#This Row],[1]:[11]],0))-1)/(COUNTA(Table2[[#This Row],[1]:[11]])-COUNTBLANK(Table2[[#This Row],[1]:[11]])-1)))</f>
        <v/>
      </c>
      <c r="AF29" s="30" t="str" cm="1">
        <f t="array" ref="AF29">IF(Table2[[#This Row],[8]]="","",Table2[[#This Row],[Weight]:[Weight]]-(Table2[[#This Row],[Weight]:[Weight]]*((_xlfn.XMATCH(Table2[[#This Row],[8]],Table2[[#This Row],[1]:[11]],0))-1)/(COUNTA(Table2[[#This Row],[1]:[11]])-COUNTBLANK(Table2[[#This Row],[1]:[11]])-1)))</f>
        <v/>
      </c>
      <c r="AG29" s="41" t="str" cm="1">
        <f t="array" ref="AG29">IF(Table2[[#This Row],[9]]="","",Table2[[#This Row],[Weight]:[Weight]]-(Table2[[#This Row],[Weight]:[Weight]]*((_xlfn.XMATCH(Table2[[#This Row],[9]],Table2[[#This Row],[1]:[11]],0))-1)/(COUNTA(Table2[[#This Row],[1]:[11]])-COUNTBLANK(Table2[[#This Row],[1]:[11]])-1)))</f>
        <v/>
      </c>
      <c r="AH29" s="41" t="str" cm="1">
        <f t="array" ref="AH29">IF(Table2[[#This Row],[10]]="","",Table2[[#This Row],[Weight]:[Weight]]-(Table2[[#This Row],[Weight]:[Weight]]*((_xlfn.XMATCH(Table2[[#This Row],[10]],Table2[[#This Row],[1]:[11]],0))-1)/(COUNTA(Table2[[#This Row],[1]:[11]])-COUNTBLANK(Table2[[#This Row],[1]:[11]])-1)))</f>
        <v/>
      </c>
      <c r="AI29" s="41" t="str" cm="1">
        <f t="array" ref="AI29">IF(Table2[[#This Row],[11]]="","",Table2[[#This Row],[Weight]:[Weight]]-(Table2[[#This Row],[Weight]:[Weight]]*((_xlfn.XMATCH(Table2[[#This Row],[11]],Table2[[#This Row],[1]:[11]],0))-1)/(COUNTA(Table2[[#This Row],[1]:[11]])-COUNTBLANK(Table2[[#This Row],[1]:[11]])-1)))</f>
        <v/>
      </c>
    </row>
    <row r="30" spans="1:35" ht="72" x14ac:dyDescent="0.2">
      <c r="A30" s="117" t="s">
        <v>138</v>
      </c>
      <c r="B30" s="21" t="s">
        <v>139</v>
      </c>
      <c r="C30" s="204" t="s">
        <v>140</v>
      </c>
      <c r="D30" s="21"/>
      <c r="E30" s="21" t="s">
        <v>55</v>
      </c>
      <c r="F30" s="22" t="s">
        <v>106</v>
      </c>
      <c r="G30" s="23" cm="1">
        <f t="array" ref="G30">_xlfn.IFS(F30="","",F30="No interest",0,F30="Nice to have",1,F30="Useful",2,F30="Important",3,F30="Very important",4,F30="Critical",5,F30="Show stopper",6)</f>
        <v>5</v>
      </c>
      <c r="H30" s="24">
        <f t="shared" si="1"/>
        <v>8.0971659919028341E-3</v>
      </c>
      <c r="I30" s="25" t="s">
        <v>118</v>
      </c>
      <c r="J30" s="37" t="str" cm="1">
        <f t="array" ref="J30">_xlfn.TEXTJOIN(" "&amp;CHAR(10),,TEXT(SUBSTITUTE(Table2[[#This Row],[12]:[22]],".",","),"0,00%"))</f>
        <v>0,00809716599190283 
0,00404858299595142 
0,00%</v>
      </c>
      <c r="K30" s="26" t="s">
        <v>119</v>
      </c>
      <c r="L30" s="27">
        <f>H30-(H30*((MATCH(Table2[[#This Row],[Evaluators Response (SELECT)]],Table2[[#This Row],[1]:[11]],0)-1)/(COUNTA(Table2[[#This Row],[1]:[11]])-COUNTBLANK(Table2[[#This Row],[1]:[11]])-1)))</f>
        <v>8.0971659919028341E-3</v>
      </c>
      <c r="M30" s="28"/>
      <c r="N30" s="41" t="str" cm="1">
        <f t="array" ref="N30">IFERROR(INDEX(_xlfn.UNIQUE(TRIM(_xlfn.TEXTSPLIT(Table2[[#This Row],[Selection Options]:[Selection Options]],","))),,N$21),"")</f>
        <v>1. Extensive functionality available</v>
      </c>
      <c r="O30" s="29" t="str" cm="1">
        <f t="array" ref="O30">IFERROR(INDEX(_xlfn.UNIQUE(TRIM(_xlfn.TEXTSPLIT(Table2[[#This Row],[Selection Options]:[Selection Options]],","))),,O$21),"")</f>
        <v xml:space="preserve">
2. Limited functionality available</v>
      </c>
      <c r="P30" s="29" t="str" cm="1">
        <f t="array" ref="P30">IFERROR(INDEX(_xlfn.UNIQUE(TRIM(_xlfn.TEXTSPLIT(Table2[[#This Row],[Selection Options]:[Selection Options]],","))),,P$21),"")</f>
        <v xml:space="preserve">
3. Functionality not available</v>
      </c>
      <c r="Q30" s="29" t="str" cm="1">
        <f t="array" ref="Q30">IFERROR(INDEX(_xlfn.UNIQUE(TRIM(_xlfn.TEXTSPLIT(Table2[[#This Row],[Selection Options]:[Selection Options]],","))),,Q$21),"")</f>
        <v/>
      </c>
      <c r="R30" s="29" t="str" cm="1">
        <f t="array" ref="R30">IFERROR(INDEX(_xlfn.UNIQUE(TRIM(_xlfn.TEXTSPLIT(Table2[[#This Row],[Selection Options]:[Selection Options]],","))),,R$21),"")</f>
        <v/>
      </c>
      <c r="S30" s="29" t="str" cm="1">
        <f t="array" ref="S30">IFERROR(INDEX(_xlfn.UNIQUE(TRIM(_xlfn.TEXTSPLIT(Table2[[#This Row],[Selection Options]:[Selection Options]],","))),,S$21),"")</f>
        <v/>
      </c>
      <c r="T30" s="29" t="str" cm="1">
        <f t="array" ref="T30">IFERROR(INDEX(_xlfn.UNIQUE(TRIM(_xlfn.TEXTSPLIT(Table2[[#This Row],[Selection Options]:[Selection Options]],","))),,T$21),"")</f>
        <v/>
      </c>
      <c r="U30" s="29" t="str" cm="1">
        <f t="array" ref="U30">IFERROR(INDEX(_xlfn.UNIQUE(TRIM(_xlfn.TEXTSPLIT(Table2[[#This Row],[Selection Options]:[Selection Options]],","))),,U$21),"")</f>
        <v/>
      </c>
      <c r="V30" s="29" t="str" cm="1">
        <f t="array" ref="V30">IFERROR(INDEX(_xlfn.UNIQUE(TRIM(_xlfn.TEXTSPLIT(Table2[[#This Row],[Selection Options]:[Selection Options]],","))),,V$21),"")</f>
        <v/>
      </c>
      <c r="W30" s="29" t="str" cm="1">
        <f t="array" ref="W30">IFERROR(INDEX(_xlfn.UNIQUE(TRIM(_xlfn.TEXTSPLIT(Table2[[#This Row],[Selection Options]:[Selection Options]],","))),,W$21),"")</f>
        <v/>
      </c>
      <c r="X30" s="29" t="str" cm="1">
        <f t="array" ref="X30">IFERROR(INDEX(_xlfn.UNIQUE(TRIM(_xlfn.TEXTSPLIT(Table2[[#This Row],[Selection Options]:[Selection Options]],","))),,X$21),"")</f>
        <v/>
      </c>
      <c r="Y30" s="30" cm="1">
        <f t="array" ref="Y30">IF(Table2[[#This Row],[1]]="","",Table2[[#This Row],[Weight]:[Weight]]-(Table2[[#This Row],[Weight]:[Weight]]*((_xlfn.XMATCH(Table2[[#This Row],[1]],Table2[[#This Row],[1]:[11]],0))-1)/(COUNTA(Table2[[#This Row],[1]:[11]])-COUNTBLANK(Table2[[#This Row],[1]:[11]])-1)))</f>
        <v>8.0971659919028341E-3</v>
      </c>
      <c r="Z30" s="30" cm="1">
        <f t="array" ref="Z30">IF(Table2[[#This Row],[2]]="","",Table2[[#This Row],[Weight]:[Weight]]-(Table2[[#This Row],[Weight]:[Weight]]*((_xlfn.XMATCH(Table2[[#This Row],[2]],Table2[[#This Row],[1]:[11]],0))-1)/(COUNTA(Table2[[#This Row],[1]:[11]])-COUNTBLANK(Table2[[#This Row],[1]:[11]])-1)))</f>
        <v>4.048582995951417E-3</v>
      </c>
      <c r="AA30" s="30" cm="1">
        <f t="array" ref="AA30">IF(Table2[[#This Row],[3]]="","",Table2[[#This Row],[Weight]:[Weight]]-(Table2[[#This Row],[Weight]:[Weight]]*((_xlfn.XMATCH(Table2[[#This Row],[3]],Table2[[#This Row],[1]:[11]],0))-1)/(COUNTA(Table2[[#This Row],[1]:[11]])-COUNTBLANK(Table2[[#This Row],[1]:[11]])-1)))</f>
        <v>0</v>
      </c>
      <c r="AB30" s="30" t="str" cm="1">
        <f t="array" ref="AB30">IF(Table2[[#This Row],[4]]="","",Table2[[#This Row],[Weight]:[Weight]]-(Table2[[#This Row],[Weight]:[Weight]]*((_xlfn.XMATCH(Table2[[#This Row],[4]],Table2[[#This Row],[1]:[11]],0))-1)/(COUNTA(Table2[[#This Row],[1]:[11]])-COUNTBLANK(Table2[[#This Row],[1]:[11]])-1)))</f>
        <v/>
      </c>
      <c r="AC30" s="30" t="str" cm="1">
        <f t="array" ref="AC30">IF(Table2[[#This Row],[5]]="","",Table2[[#This Row],[Weight]:[Weight]]-(Table2[[#This Row],[Weight]:[Weight]]*((_xlfn.XMATCH(Table2[[#This Row],[5]],Table2[[#This Row],[1]:[11]],0))-1)/(COUNTA(Table2[[#This Row],[1]:[11]])-COUNTBLANK(Table2[[#This Row],[1]:[11]])-1)))</f>
        <v/>
      </c>
      <c r="AD30" s="30" t="str" cm="1">
        <f t="array" ref="AD30">IF(Table2[[#This Row],[6]]="","",Table2[[#This Row],[Weight]:[Weight]]-(Table2[[#This Row],[Weight]:[Weight]]*((_xlfn.XMATCH(Table2[[#This Row],[6]],Table2[[#This Row],[1]:[11]],0))-1)/(COUNTA(Table2[[#This Row],[1]:[11]])-COUNTBLANK(Table2[[#This Row],[1]:[11]])-1)))</f>
        <v/>
      </c>
      <c r="AE30" s="30" t="str" cm="1">
        <f t="array" ref="AE30">IF(Table2[[#This Row],[7]]="","",Table2[[#This Row],[Weight]:[Weight]]-(Table2[[#This Row],[Weight]:[Weight]]*((_xlfn.XMATCH(Table2[[#This Row],[7]],Table2[[#This Row],[1]:[11]],0))-1)/(COUNTA(Table2[[#This Row],[1]:[11]])-COUNTBLANK(Table2[[#This Row],[1]:[11]])-1)))</f>
        <v/>
      </c>
      <c r="AF30" s="30" t="str" cm="1">
        <f t="array" ref="AF30">IF(Table2[[#This Row],[8]]="","",Table2[[#This Row],[Weight]:[Weight]]-(Table2[[#This Row],[Weight]:[Weight]]*((_xlfn.XMATCH(Table2[[#This Row],[8]],Table2[[#This Row],[1]:[11]],0))-1)/(COUNTA(Table2[[#This Row],[1]:[11]])-COUNTBLANK(Table2[[#This Row],[1]:[11]])-1)))</f>
        <v/>
      </c>
      <c r="AG30" s="41" t="str" cm="1">
        <f t="array" ref="AG30">IF(Table2[[#This Row],[9]]="","",Table2[[#This Row],[Weight]:[Weight]]-(Table2[[#This Row],[Weight]:[Weight]]*((_xlfn.XMATCH(Table2[[#This Row],[9]],Table2[[#This Row],[1]:[11]],0))-1)/(COUNTA(Table2[[#This Row],[1]:[11]])-COUNTBLANK(Table2[[#This Row],[1]:[11]])-1)))</f>
        <v/>
      </c>
      <c r="AH30" s="41" t="str" cm="1">
        <f t="array" ref="AH30">IF(Table2[[#This Row],[10]]="","",Table2[[#This Row],[Weight]:[Weight]]-(Table2[[#This Row],[Weight]:[Weight]]*((_xlfn.XMATCH(Table2[[#This Row],[10]],Table2[[#This Row],[1]:[11]],0))-1)/(COUNTA(Table2[[#This Row],[1]:[11]])-COUNTBLANK(Table2[[#This Row],[1]:[11]])-1)))</f>
        <v/>
      </c>
      <c r="AI30" s="41" t="str" cm="1">
        <f t="array" ref="AI30">IF(Table2[[#This Row],[11]]="","",Table2[[#This Row],[Weight]:[Weight]]-(Table2[[#This Row],[Weight]:[Weight]]*((_xlfn.XMATCH(Table2[[#This Row],[11]],Table2[[#This Row],[1]:[11]],0))-1)/(COUNTA(Table2[[#This Row],[1]:[11]])-COUNTBLANK(Table2[[#This Row],[1]:[11]])-1)))</f>
        <v/>
      </c>
    </row>
    <row r="31" spans="1:35" ht="72" x14ac:dyDescent="0.2">
      <c r="A31" s="117" t="s">
        <v>141</v>
      </c>
      <c r="B31" s="21" t="s">
        <v>142</v>
      </c>
      <c r="C31" s="204" t="s">
        <v>143</v>
      </c>
      <c r="D31" s="21"/>
      <c r="E31" s="21" t="s">
        <v>55</v>
      </c>
      <c r="F31" s="22" t="s">
        <v>106</v>
      </c>
      <c r="G31" s="23" cm="1">
        <f t="array" ref="G31">_xlfn.IFS(F31="","",F31="No interest",0,F31="Nice to have",1,F31="Useful",2,F31="Important",3,F31="Very important",4,F31="Critical",5,F31="Show stopper",6)</f>
        <v>5</v>
      </c>
      <c r="H31" s="24">
        <f t="shared" si="1"/>
        <v>8.0971659919028341E-3</v>
      </c>
      <c r="I31" s="25" t="s">
        <v>118</v>
      </c>
      <c r="J31" s="37" t="str" cm="1">
        <f t="array" ref="J31">_xlfn.TEXTJOIN(" "&amp;CHAR(10),,TEXT(SUBSTITUTE(Table2[[#This Row],[12]:[22]],".",","),"0,00%"))</f>
        <v>0,00809716599190283 
0,00404858299595142 
0,00%</v>
      </c>
      <c r="K31" s="26" t="s">
        <v>119</v>
      </c>
      <c r="L31" s="27">
        <f>H31-(H31*((MATCH(Table2[[#This Row],[Evaluators Response (SELECT)]],Table2[[#This Row],[1]:[11]],0)-1)/(COUNTA(Table2[[#This Row],[1]:[11]])-COUNTBLANK(Table2[[#This Row],[1]:[11]])-1)))</f>
        <v>8.0971659919028341E-3</v>
      </c>
      <c r="M31" s="28"/>
      <c r="N31" s="41" t="str" cm="1">
        <f t="array" ref="N31">IFERROR(INDEX(_xlfn.UNIQUE(TRIM(_xlfn.TEXTSPLIT(Table2[[#This Row],[Selection Options]:[Selection Options]],","))),,N$21),"")</f>
        <v>1. Extensive functionality available</v>
      </c>
      <c r="O31" s="29" t="str" cm="1">
        <f t="array" ref="O31">IFERROR(INDEX(_xlfn.UNIQUE(TRIM(_xlfn.TEXTSPLIT(Table2[[#This Row],[Selection Options]:[Selection Options]],","))),,O$21),"")</f>
        <v xml:space="preserve">
2. Limited functionality available</v>
      </c>
      <c r="P31" s="29" t="str" cm="1">
        <f t="array" ref="P31">IFERROR(INDEX(_xlfn.UNIQUE(TRIM(_xlfn.TEXTSPLIT(Table2[[#This Row],[Selection Options]:[Selection Options]],","))),,P$21),"")</f>
        <v xml:space="preserve">
3. Functionality not available</v>
      </c>
      <c r="Q31" s="29" t="str" cm="1">
        <f t="array" ref="Q31">IFERROR(INDEX(_xlfn.UNIQUE(TRIM(_xlfn.TEXTSPLIT(Table2[[#This Row],[Selection Options]:[Selection Options]],","))),,Q$21),"")</f>
        <v/>
      </c>
      <c r="R31" s="29" t="str" cm="1">
        <f t="array" ref="R31">IFERROR(INDEX(_xlfn.UNIQUE(TRIM(_xlfn.TEXTSPLIT(Table2[[#This Row],[Selection Options]:[Selection Options]],","))),,R$21),"")</f>
        <v/>
      </c>
      <c r="S31" s="29" t="str" cm="1">
        <f t="array" ref="S31">IFERROR(INDEX(_xlfn.UNIQUE(TRIM(_xlfn.TEXTSPLIT(Table2[[#This Row],[Selection Options]:[Selection Options]],","))),,S$21),"")</f>
        <v/>
      </c>
      <c r="T31" s="29" t="str" cm="1">
        <f t="array" ref="T31">IFERROR(INDEX(_xlfn.UNIQUE(TRIM(_xlfn.TEXTSPLIT(Table2[[#This Row],[Selection Options]:[Selection Options]],","))),,T$21),"")</f>
        <v/>
      </c>
      <c r="U31" s="29" t="str" cm="1">
        <f t="array" ref="U31">IFERROR(INDEX(_xlfn.UNIQUE(TRIM(_xlfn.TEXTSPLIT(Table2[[#This Row],[Selection Options]:[Selection Options]],","))),,U$21),"")</f>
        <v/>
      </c>
      <c r="V31" s="29" t="str" cm="1">
        <f t="array" ref="V31">IFERROR(INDEX(_xlfn.UNIQUE(TRIM(_xlfn.TEXTSPLIT(Table2[[#This Row],[Selection Options]:[Selection Options]],","))),,V$21),"")</f>
        <v/>
      </c>
      <c r="W31" s="29" t="str" cm="1">
        <f t="array" ref="W31">IFERROR(INDEX(_xlfn.UNIQUE(TRIM(_xlfn.TEXTSPLIT(Table2[[#This Row],[Selection Options]:[Selection Options]],","))),,W$21),"")</f>
        <v/>
      </c>
      <c r="X31" s="29" t="str" cm="1">
        <f t="array" ref="X31">IFERROR(INDEX(_xlfn.UNIQUE(TRIM(_xlfn.TEXTSPLIT(Table2[[#This Row],[Selection Options]:[Selection Options]],","))),,X$21),"")</f>
        <v/>
      </c>
      <c r="Y31" s="30" cm="1">
        <f t="array" ref="Y31">IF(Table2[[#This Row],[1]]="","",Table2[[#This Row],[Weight]:[Weight]]-(Table2[[#This Row],[Weight]:[Weight]]*((_xlfn.XMATCH(Table2[[#This Row],[1]],Table2[[#This Row],[1]:[11]],0))-1)/(COUNTA(Table2[[#This Row],[1]:[11]])-COUNTBLANK(Table2[[#This Row],[1]:[11]])-1)))</f>
        <v>8.0971659919028341E-3</v>
      </c>
      <c r="Z31" s="30" cm="1">
        <f t="array" ref="Z31">IF(Table2[[#This Row],[2]]="","",Table2[[#This Row],[Weight]:[Weight]]-(Table2[[#This Row],[Weight]:[Weight]]*((_xlfn.XMATCH(Table2[[#This Row],[2]],Table2[[#This Row],[1]:[11]],0))-1)/(COUNTA(Table2[[#This Row],[1]:[11]])-COUNTBLANK(Table2[[#This Row],[1]:[11]])-1)))</f>
        <v>4.048582995951417E-3</v>
      </c>
      <c r="AA31" s="30" cm="1">
        <f t="array" ref="AA31">IF(Table2[[#This Row],[3]]="","",Table2[[#This Row],[Weight]:[Weight]]-(Table2[[#This Row],[Weight]:[Weight]]*((_xlfn.XMATCH(Table2[[#This Row],[3]],Table2[[#This Row],[1]:[11]],0))-1)/(COUNTA(Table2[[#This Row],[1]:[11]])-COUNTBLANK(Table2[[#This Row],[1]:[11]])-1)))</f>
        <v>0</v>
      </c>
      <c r="AB31" s="30" t="str" cm="1">
        <f t="array" ref="AB31">IF(Table2[[#This Row],[4]]="","",Table2[[#This Row],[Weight]:[Weight]]-(Table2[[#This Row],[Weight]:[Weight]]*((_xlfn.XMATCH(Table2[[#This Row],[4]],Table2[[#This Row],[1]:[11]],0))-1)/(COUNTA(Table2[[#This Row],[1]:[11]])-COUNTBLANK(Table2[[#This Row],[1]:[11]])-1)))</f>
        <v/>
      </c>
      <c r="AC31" s="30" t="str" cm="1">
        <f t="array" ref="AC31">IF(Table2[[#This Row],[5]]="","",Table2[[#This Row],[Weight]:[Weight]]-(Table2[[#This Row],[Weight]:[Weight]]*((_xlfn.XMATCH(Table2[[#This Row],[5]],Table2[[#This Row],[1]:[11]],0))-1)/(COUNTA(Table2[[#This Row],[1]:[11]])-COUNTBLANK(Table2[[#This Row],[1]:[11]])-1)))</f>
        <v/>
      </c>
      <c r="AD31" s="30" t="str" cm="1">
        <f t="array" ref="AD31">IF(Table2[[#This Row],[6]]="","",Table2[[#This Row],[Weight]:[Weight]]-(Table2[[#This Row],[Weight]:[Weight]]*((_xlfn.XMATCH(Table2[[#This Row],[6]],Table2[[#This Row],[1]:[11]],0))-1)/(COUNTA(Table2[[#This Row],[1]:[11]])-COUNTBLANK(Table2[[#This Row],[1]:[11]])-1)))</f>
        <v/>
      </c>
      <c r="AE31" s="30" t="str" cm="1">
        <f t="array" ref="AE31">IF(Table2[[#This Row],[7]]="","",Table2[[#This Row],[Weight]:[Weight]]-(Table2[[#This Row],[Weight]:[Weight]]*((_xlfn.XMATCH(Table2[[#This Row],[7]],Table2[[#This Row],[1]:[11]],0))-1)/(COUNTA(Table2[[#This Row],[1]:[11]])-COUNTBLANK(Table2[[#This Row],[1]:[11]])-1)))</f>
        <v/>
      </c>
      <c r="AF31" s="30" t="str" cm="1">
        <f t="array" ref="AF31">IF(Table2[[#This Row],[8]]="","",Table2[[#This Row],[Weight]:[Weight]]-(Table2[[#This Row],[Weight]:[Weight]]*((_xlfn.XMATCH(Table2[[#This Row],[8]],Table2[[#This Row],[1]:[11]],0))-1)/(COUNTA(Table2[[#This Row],[1]:[11]])-COUNTBLANK(Table2[[#This Row],[1]:[11]])-1)))</f>
        <v/>
      </c>
      <c r="AG31" s="41" t="str" cm="1">
        <f t="array" ref="AG31">IF(Table2[[#This Row],[9]]="","",Table2[[#This Row],[Weight]:[Weight]]-(Table2[[#This Row],[Weight]:[Weight]]*((_xlfn.XMATCH(Table2[[#This Row],[9]],Table2[[#This Row],[1]:[11]],0))-1)/(COUNTA(Table2[[#This Row],[1]:[11]])-COUNTBLANK(Table2[[#This Row],[1]:[11]])-1)))</f>
        <v/>
      </c>
      <c r="AH31" s="41" t="str" cm="1">
        <f t="array" ref="AH31">IF(Table2[[#This Row],[10]]="","",Table2[[#This Row],[Weight]:[Weight]]-(Table2[[#This Row],[Weight]:[Weight]]*((_xlfn.XMATCH(Table2[[#This Row],[10]],Table2[[#This Row],[1]:[11]],0))-1)/(COUNTA(Table2[[#This Row],[1]:[11]])-COUNTBLANK(Table2[[#This Row],[1]:[11]])-1)))</f>
        <v/>
      </c>
      <c r="AI31" s="41" t="str" cm="1">
        <f t="array" ref="AI31">IF(Table2[[#This Row],[11]]="","",Table2[[#This Row],[Weight]:[Weight]]-(Table2[[#This Row],[Weight]:[Weight]]*((_xlfn.XMATCH(Table2[[#This Row],[11]],Table2[[#This Row],[1]:[11]],0))-1)/(COUNTA(Table2[[#This Row],[1]:[11]])-COUNTBLANK(Table2[[#This Row],[1]:[11]])-1)))</f>
        <v/>
      </c>
    </row>
    <row r="32" spans="1:35" ht="72" x14ac:dyDescent="0.2">
      <c r="A32" s="117" t="s">
        <v>144</v>
      </c>
      <c r="B32" s="21" t="s">
        <v>145</v>
      </c>
      <c r="C32" s="204" t="s">
        <v>146</v>
      </c>
      <c r="D32" s="21"/>
      <c r="E32" s="21" t="s">
        <v>55</v>
      </c>
      <c r="F32" s="22" t="s">
        <v>106</v>
      </c>
      <c r="G32" s="23" cm="1">
        <f t="array" ref="G32">_xlfn.IFS(F32="","",F32="No interest",0,F32="Nice to have",1,F32="Useful",2,F32="Important",3,F32="Very important",4,F32="Critical",5,F32="Show stopper",6)</f>
        <v>5</v>
      </c>
      <c r="H32" s="24">
        <f t="shared" si="1"/>
        <v>8.0971659919028341E-3</v>
      </c>
      <c r="I32" s="25" t="s">
        <v>118</v>
      </c>
      <c r="J32" s="37" t="str" cm="1">
        <f t="array" ref="J32">_xlfn.TEXTJOIN(" "&amp;CHAR(10),,TEXT(SUBSTITUTE(Table2[[#This Row],[12]:[22]],".",","),"0,00%"))</f>
        <v>0,00809716599190283 
0,00404858299595142 
0,00%</v>
      </c>
      <c r="K32" s="26" t="s">
        <v>119</v>
      </c>
      <c r="L32" s="27">
        <f>H32-(H32*((MATCH(Table2[[#This Row],[Evaluators Response (SELECT)]],Table2[[#This Row],[1]:[11]],0)-1)/(COUNTA(Table2[[#This Row],[1]:[11]])-COUNTBLANK(Table2[[#This Row],[1]:[11]])-1)))</f>
        <v>8.0971659919028341E-3</v>
      </c>
      <c r="M32" s="28"/>
      <c r="N32" s="41" t="str" cm="1">
        <f t="array" ref="N32">IFERROR(INDEX(_xlfn.UNIQUE(TRIM(_xlfn.TEXTSPLIT(Table2[[#This Row],[Selection Options]:[Selection Options]],","))),,N$21),"")</f>
        <v>1. Extensive functionality available</v>
      </c>
      <c r="O32" s="29" t="str" cm="1">
        <f t="array" ref="O32">IFERROR(INDEX(_xlfn.UNIQUE(TRIM(_xlfn.TEXTSPLIT(Table2[[#This Row],[Selection Options]:[Selection Options]],","))),,O$21),"")</f>
        <v xml:space="preserve">
2. Limited functionality available</v>
      </c>
      <c r="P32" s="29" t="str" cm="1">
        <f t="array" ref="P32">IFERROR(INDEX(_xlfn.UNIQUE(TRIM(_xlfn.TEXTSPLIT(Table2[[#This Row],[Selection Options]:[Selection Options]],","))),,P$21),"")</f>
        <v xml:space="preserve">
3. Functionality not available</v>
      </c>
      <c r="Q32" s="29" t="str" cm="1">
        <f t="array" ref="Q32">IFERROR(INDEX(_xlfn.UNIQUE(TRIM(_xlfn.TEXTSPLIT(Table2[[#This Row],[Selection Options]:[Selection Options]],","))),,Q$21),"")</f>
        <v/>
      </c>
      <c r="R32" s="29" t="str" cm="1">
        <f t="array" ref="R32">IFERROR(INDEX(_xlfn.UNIQUE(TRIM(_xlfn.TEXTSPLIT(Table2[[#This Row],[Selection Options]:[Selection Options]],","))),,R$21),"")</f>
        <v/>
      </c>
      <c r="S32" s="29" t="str" cm="1">
        <f t="array" ref="S32">IFERROR(INDEX(_xlfn.UNIQUE(TRIM(_xlfn.TEXTSPLIT(Table2[[#This Row],[Selection Options]:[Selection Options]],","))),,S$21),"")</f>
        <v/>
      </c>
      <c r="T32" s="29" t="str" cm="1">
        <f t="array" ref="T32">IFERROR(INDEX(_xlfn.UNIQUE(TRIM(_xlfn.TEXTSPLIT(Table2[[#This Row],[Selection Options]:[Selection Options]],","))),,T$21),"")</f>
        <v/>
      </c>
      <c r="U32" s="29" t="str" cm="1">
        <f t="array" ref="U32">IFERROR(INDEX(_xlfn.UNIQUE(TRIM(_xlfn.TEXTSPLIT(Table2[[#This Row],[Selection Options]:[Selection Options]],","))),,U$21),"")</f>
        <v/>
      </c>
      <c r="V32" s="29" t="str" cm="1">
        <f t="array" ref="V32">IFERROR(INDEX(_xlfn.UNIQUE(TRIM(_xlfn.TEXTSPLIT(Table2[[#This Row],[Selection Options]:[Selection Options]],","))),,V$21),"")</f>
        <v/>
      </c>
      <c r="W32" s="29" t="str" cm="1">
        <f t="array" ref="W32">IFERROR(INDEX(_xlfn.UNIQUE(TRIM(_xlfn.TEXTSPLIT(Table2[[#This Row],[Selection Options]:[Selection Options]],","))),,W$21),"")</f>
        <v/>
      </c>
      <c r="X32" s="29" t="str" cm="1">
        <f t="array" ref="X32">IFERROR(INDEX(_xlfn.UNIQUE(TRIM(_xlfn.TEXTSPLIT(Table2[[#This Row],[Selection Options]:[Selection Options]],","))),,X$21),"")</f>
        <v/>
      </c>
      <c r="Y32" s="30" cm="1">
        <f t="array" ref="Y32">IF(Table2[[#This Row],[1]]="","",Table2[[#This Row],[Weight]:[Weight]]-(Table2[[#This Row],[Weight]:[Weight]]*((_xlfn.XMATCH(Table2[[#This Row],[1]],Table2[[#This Row],[1]:[11]],0))-1)/(COUNTA(Table2[[#This Row],[1]:[11]])-COUNTBLANK(Table2[[#This Row],[1]:[11]])-1)))</f>
        <v>8.0971659919028341E-3</v>
      </c>
      <c r="Z32" s="30" cm="1">
        <f t="array" ref="Z32">IF(Table2[[#This Row],[2]]="","",Table2[[#This Row],[Weight]:[Weight]]-(Table2[[#This Row],[Weight]:[Weight]]*((_xlfn.XMATCH(Table2[[#This Row],[2]],Table2[[#This Row],[1]:[11]],0))-1)/(COUNTA(Table2[[#This Row],[1]:[11]])-COUNTBLANK(Table2[[#This Row],[1]:[11]])-1)))</f>
        <v>4.048582995951417E-3</v>
      </c>
      <c r="AA32" s="30" cm="1">
        <f t="array" ref="AA32">IF(Table2[[#This Row],[3]]="","",Table2[[#This Row],[Weight]:[Weight]]-(Table2[[#This Row],[Weight]:[Weight]]*((_xlfn.XMATCH(Table2[[#This Row],[3]],Table2[[#This Row],[1]:[11]],0))-1)/(COUNTA(Table2[[#This Row],[1]:[11]])-COUNTBLANK(Table2[[#This Row],[1]:[11]])-1)))</f>
        <v>0</v>
      </c>
      <c r="AB32" s="30" t="str" cm="1">
        <f t="array" ref="AB32">IF(Table2[[#This Row],[4]]="","",Table2[[#This Row],[Weight]:[Weight]]-(Table2[[#This Row],[Weight]:[Weight]]*((_xlfn.XMATCH(Table2[[#This Row],[4]],Table2[[#This Row],[1]:[11]],0))-1)/(COUNTA(Table2[[#This Row],[1]:[11]])-COUNTBLANK(Table2[[#This Row],[1]:[11]])-1)))</f>
        <v/>
      </c>
      <c r="AC32" s="30" t="str" cm="1">
        <f t="array" ref="AC32">IF(Table2[[#This Row],[5]]="","",Table2[[#This Row],[Weight]:[Weight]]-(Table2[[#This Row],[Weight]:[Weight]]*((_xlfn.XMATCH(Table2[[#This Row],[5]],Table2[[#This Row],[1]:[11]],0))-1)/(COUNTA(Table2[[#This Row],[1]:[11]])-COUNTBLANK(Table2[[#This Row],[1]:[11]])-1)))</f>
        <v/>
      </c>
      <c r="AD32" s="30" t="str" cm="1">
        <f t="array" ref="AD32">IF(Table2[[#This Row],[6]]="","",Table2[[#This Row],[Weight]:[Weight]]-(Table2[[#This Row],[Weight]:[Weight]]*((_xlfn.XMATCH(Table2[[#This Row],[6]],Table2[[#This Row],[1]:[11]],0))-1)/(COUNTA(Table2[[#This Row],[1]:[11]])-COUNTBLANK(Table2[[#This Row],[1]:[11]])-1)))</f>
        <v/>
      </c>
      <c r="AE32" s="30" t="str" cm="1">
        <f t="array" ref="AE32">IF(Table2[[#This Row],[7]]="","",Table2[[#This Row],[Weight]:[Weight]]-(Table2[[#This Row],[Weight]:[Weight]]*((_xlfn.XMATCH(Table2[[#This Row],[7]],Table2[[#This Row],[1]:[11]],0))-1)/(COUNTA(Table2[[#This Row],[1]:[11]])-COUNTBLANK(Table2[[#This Row],[1]:[11]])-1)))</f>
        <v/>
      </c>
      <c r="AF32" s="30" t="str" cm="1">
        <f t="array" ref="AF32">IF(Table2[[#This Row],[8]]="","",Table2[[#This Row],[Weight]:[Weight]]-(Table2[[#This Row],[Weight]:[Weight]]*((_xlfn.XMATCH(Table2[[#This Row],[8]],Table2[[#This Row],[1]:[11]],0))-1)/(COUNTA(Table2[[#This Row],[1]:[11]])-COUNTBLANK(Table2[[#This Row],[1]:[11]])-1)))</f>
        <v/>
      </c>
      <c r="AG32" s="41" t="str" cm="1">
        <f t="array" ref="AG32">IF(Table2[[#This Row],[9]]="","",Table2[[#This Row],[Weight]:[Weight]]-(Table2[[#This Row],[Weight]:[Weight]]*((_xlfn.XMATCH(Table2[[#This Row],[9]],Table2[[#This Row],[1]:[11]],0))-1)/(COUNTA(Table2[[#This Row],[1]:[11]])-COUNTBLANK(Table2[[#This Row],[1]:[11]])-1)))</f>
        <v/>
      </c>
      <c r="AH32" s="41" t="str" cm="1">
        <f t="array" ref="AH32">IF(Table2[[#This Row],[10]]="","",Table2[[#This Row],[Weight]:[Weight]]-(Table2[[#This Row],[Weight]:[Weight]]*((_xlfn.XMATCH(Table2[[#This Row],[10]],Table2[[#This Row],[1]:[11]],0))-1)/(COUNTA(Table2[[#This Row],[1]:[11]])-COUNTBLANK(Table2[[#This Row],[1]:[11]])-1)))</f>
        <v/>
      </c>
      <c r="AI32" s="41" t="str" cm="1">
        <f t="array" ref="AI32">IF(Table2[[#This Row],[11]]="","",Table2[[#This Row],[Weight]:[Weight]]-(Table2[[#This Row],[Weight]:[Weight]]*((_xlfn.XMATCH(Table2[[#This Row],[11]],Table2[[#This Row],[1]:[11]],0))-1)/(COUNTA(Table2[[#This Row],[1]:[11]])-COUNTBLANK(Table2[[#This Row],[1]:[11]])-1)))</f>
        <v/>
      </c>
    </row>
    <row r="33" spans="1:35" ht="72" x14ac:dyDescent="0.2">
      <c r="A33" s="117" t="s">
        <v>147</v>
      </c>
      <c r="B33" s="21" t="s">
        <v>148</v>
      </c>
      <c r="C33" s="204" t="s">
        <v>149</v>
      </c>
      <c r="D33" s="21"/>
      <c r="E33" s="21" t="s">
        <v>55</v>
      </c>
      <c r="F33" s="22" t="s">
        <v>106</v>
      </c>
      <c r="G33" s="23" cm="1">
        <f t="array" ref="G33">_xlfn.IFS(F33="","",F33="No interest",0,F33="Nice to have",1,F33="Useful",2,F33="Important",3,F33="Very important",4,F33="Critical",5,F33="Show stopper",6)</f>
        <v>5</v>
      </c>
      <c r="H33" s="24">
        <f t="shared" si="1"/>
        <v>8.0971659919028341E-3</v>
      </c>
      <c r="I33" s="25" t="s">
        <v>118</v>
      </c>
      <c r="J33" s="37" t="str" cm="1">
        <f t="array" ref="J33">_xlfn.TEXTJOIN(" "&amp;CHAR(10),,TEXT(SUBSTITUTE(Table2[[#This Row],[12]:[22]],".",","),"0,00%"))</f>
        <v>0,00809716599190283 
0,00404858299595142 
0,00%</v>
      </c>
      <c r="K33" s="26" t="s">
        <v>119</v>
      </c>
      <c r="L33" s="27">
        <f>H33-(H33*((MATCH(Table2[[#This Row],[Evaluators Response (SELECT)]],Table2[[#This Row],[1]:[11]],0)-1)/(COUNTA(Table2[[#This Row],[1]:[11]])-COUNTBLANK(Table2[[#This Row],[1]:[11]])-1)))</f>
        <v>8.0971659919028341E-3</v>
      </c>
      <c r="M33" s="28"/>
      <c r="N33" s="41" t="str" cm="1">
        <f t="array" ref="N33">IFERROR(INDEX(_xlfn.UNIQUE(TRIM(_xlfn.TEXTSPLIT(Table2[[#This Row],[Selection Options]:[Selection Options]],","))),,N$21),"")</f>
        <v>1. Extensive functionality available</v>
      </c>
      <c r="O33" s="29" t="str" cm="1">
        <f t="array" ref="O33">IFERROR(INDEX(_xlfn.UNIQUE(TRIM(_xlfn.TEXTSPLIT(Table2[[#This Row],[Selection Options]:[Selection Options]],","))),,O$21),"")</f>
        <v xml:space="preserve">
2. Limited functionality available</v>
      </c>
      <c r="P33" s="29" t="str" cm="1">
        <f t="array" ref="P33">IFERROR(INDEX(_xlfn.UNIQUE(TRIM(_xlfn.TEXTSPLIT(Table2[[#This Row],[Selection Options]:[Selection Options]],","))),,P$21),"")</f>
        <v xml:space="preserve">
3. Functionality not available</v>
      </c>
      <c r="Q33" s="29" t="str" cm="1">
        <f t="array" ref="Q33">IFERROR(INDEX(_xlfn.UNIQUE(TRIM(_xlfn.TEXTSPLIT(Table2[[#This Row],[Selection Options]:[Selection Options]],","))),,Q$21),"")</f>
        <v/>
      </c>
      <c r="R33" s="29" t="str" cm="1">
        <f t="array" ref="R33">IFERROR(INDEX(_xlfn.UNIQUE(TRIM(_xlfn.TEXTSPLIT(Table2[[#This Row],[Selection Options]:[Selection Options]],","))),,R$21),"")</f>
        <v/>
      </c>
      <c r="S33" s="29" t="str" cm="1">
        <f t="array" ref="S33">IFERROR(INDEX(_xlfn.UNIQUE(TRIM(_xlfn.TEXTSPLIT(Table2[[#This Row],[Selection Options]:[Selection Options]],","))),,S$21),"")</f>
        <v/>
      </c>
      <c r="T33" s="29" t="str" cm="1">
        <f t="array" ref="T33">IFERROR(INDEX(_xlfn.UNIQUE(TRIM(_xlfn.TEXTSPLIT(Table2[[#This Row],[Selection Options]:[Selection Options]],","))),,T$21),"")</f>
        <v/>
      </c>
      <c r="U33" s="29" t="str" cm="1">
        <f t="array" ref="U33">IFERROR(INDEX(_xlfn.UNIQUE(TRIM(_xlfn.TEXTSPLIT(Table2[[#This Row],[Selection Options]:[Selection Options]],","))),,U$21),"")</f>
        <v/>
      </c>
      <c r="V33" s="29" t="str" cm="1">
        <f t="array" ref="V33">IFERROR(INDEX(_xlfn.UNIQUE(TRIM(_xlfn.TEXTSPLIT(Table2[[#This Row],[Selection Options]:[Selection Options]],","))),,V$21),"")</f>
        <v/>
      </c>
      <c r="W33" s="29" t="str" cm="1">
        <f t="array" ref="W33">IFERROR(INDEX(_xlfn.UNIQUE(TRIM(_xlfn.TEXTSPLIT(Table2[[#This Row],[Selection Options]:[Selection Options]],","))),,W$21),"")</f>
        <v/>
      </c>
      <c r="X33" s="29" t="str" cm="1">
        <f t="array" ref="X33">IFERROR(INDEX(_xlfn.UNIQUE(TRIM(_xlfn.TEXTSPLIT(Table2[[#This Row],[Selection Options]:[Selection Options]],","))),,X$21),"")</f>
        <v/>
      </c>
      <c r="Y33" s="30" cm="1">
        <f t="array" ref="Y33">IF(Table2[[#This Row],[1]]="","",Table2[[#This Row],[Weight]:[Weight]]-(Table2[[#This Row],[Weight]:[Weight]]*((_xlfn.XMATCH(Table2[[#This Row],[1]],Table2[[#This Row],[1]:[11]],0))-1)/(COUNTA(Table2[[#This Row],[1]:[11]])-COUNTBLANK(Table2[[#This Row],[1]:[11]])-1)))</f>
        <v>8.0971659919028341E-3</v>
      </c>
      <c r="Z33" s="30" cm="1">
        <f t="array" ref="Z33">IF(Table2[[#This Row],[2]]="","",Table2[[#This Row],[Weight]:[Weight]]-(Table2[[#This Row],[Weight]:[Weight]]*((_xlfn.XMATCH(Table2[[#This Row],[2]],Table2[[#This Row],[1]:[11]],0))-1)/(COUNTA(Table2[[#This Row],[1]:[11]])-COUNTBLANK(Table2[[#This Row],[1]:[11]])-1)))</f>
        <v>4.048582995951417E-3</v>
      </c>
      <c r="AA33" s="30" cm="1">
        <f t="array" ref="AA33">IF(Table2[[#This Row],[3]]="","",Table2[[#This Row],[Weight]:[Weight]]-(Table2[[#This Row],[Weight]:[Weight]]*((_xlfn.XMATCH(Table2[[#This Row],[3]],Table2[[#This Row],[1]:[11]],0))-1)/(COUNTA(Table2[[#This Row],[1]:[11]])-COUNTBLANK(Table2[[#This Row],[1]:[11]])-1)))</f>
        <v>0</v>
      </c>
      <c r="AB33" s="30" t="str" cm="1">
        <f t="array" ref="AB33">IF(Table2[[#This Row],[4]]="","",Table2[[#This Row],[Weight]:[Weight]]-(Table2[[#This Row],[Weight]:[Weight]]*((_xlfn.XMATCH(Table2[[#This Row],[4]],Table2[[#This Row],[1]:[11]],0))-1)/(COUNTA(Table2[[#This Row],[1]:[11]])-COUNTBLANK(Table2[[#This Row],[1]:[11]])-1)))</f>
        <v/>
      </c>
      <c r="AC33" s="30" t="str" cm="1">
        <f t="array" ref="AC33">IF(Table2[[#This Row],[5]]="","",Table2[[#This Row],[Weight]:[Weight]]-(Table2[[#This Row],[Weight]:[Weight]]*((_xlfn.XMATCH(Table2[[#This Row],[5]],Table2[[#This Row],[1]:[11]],0))-1)/(COUNTA(Table2[[#This Row],[1]:[11]])-COUNTBLANK(Table2[[#This Row],[1]:[11]])-1)))</f>
        <v/>
      </c>
      <c r="AD33" s="30" t="str" cm="1">
        <f t="array" ref="AD33">IF(Table2[[#This Row],[6]]="","",Table2[[#This Row],[Weight]:[Weight]]-(Table2[[#This Row],[Weight]:[Weight]]*((_xlfn.XMATCH(Table2[[#This Row],[6]],Table2[[#This Row],[1]:[11]],0))-1)/(COUNTA(Table2[[#This Row],[1]:[11]])-COUNTBLANK(Table2[[#This Row],[1]:[11]])-1)))</f>
        <v/>
      </c>
      <c r="AE33" s="30" t="str" cm="1">
        <f t="array" ref="AE33">IF(Table2[[#This Row],[7]]="","",Table2[[#This Row],[Weight]:[Weight]]-(Table2[[#This Row],[Weight]:[Weight]]*((_xlfn.XMATCH(Table2[[#This Row],[7]],Table2[[#This Row],[1]:[11]],0))-1)/(COUNTA(Table2[[#This Row],[1]:[11]])-COUNTBLANK(Table2[[#This Row],[1]:[11]])-1)))</f>
        <v/>
      </c>
      <c r="AF33" s="30" t="str" cm="1">
        <f t="array" ref="AF33">IF(Table2[[#This Row],[8]]="","",Table2[[#This Row],[Weight]:[Weight]]-(Table2[[#This Row],[Weight]:[Weight]]*((_xlfn.XMATCH(Table2[[#This Row],[8]],Table2[[#This Row],[1]:[11]],0))-1)/(COUNTA(Table2[[#This Row],[1]:[11]])-COUNTBLANK(Table2[[#This Row],[1]:[11]])-1)))</f>
        <v/>
      </c>
      <c r="AG33" s="41" t="str" cm="1">
        <f t="array" ref="AG33">IF(Table2[[#This Row],[9]]="","",Table2[[#This Row],[Weight]:[Weight]]-(Table2[[#This Row],[Weight]:[Weight]]*((_xlfn.XMATCH(Table2[[#This Row],[9]],Table2[[#This Row],[1]:[11]],0))-1)/(COUNTA(Table2[[#This Row],[1]:[11]])-COUNTBLANK(Table2[[#This Row],[1]:[11]])-1)))</f>
        <v/>
      </c>
      <c r="AH33" s="41" t="str" cm="1">
        <f t="array" ref="AH33">IF(Table2[[#This Row],[10]]="","",Table2[[#This Row],[Weight]:[Weight]]-(Table2[[#This Row],[Weight]:[Weight]]*((_xlfn.XMATCH(Table2[[#This Row],[10]],Table2[[#This Row],[1]:[11]],0))-1)/(COUNTA(Table2[[#This Row],[1]:[11]])-COUNTBLANK(Table2[[#This Row],[1]:[11]])-1)))</f>
        <v/>
      </c>
      <c r="AI33" s="41" t="str" cm="1">
        <f t="array" ref="AI33">IF(Table2[[#This Row],[11]]="","",Table2[[#This Row],[Weight]:[Weight]]-(Table2[[#This Row],[Weight]:[Weight]]*((_xlfn.XMATCH(Table2[[#This Row],[11]],Table2[[#This Row],[1]:[11]],0))-1)/(COUNTA(Table2[[#This Row],[1]:[11]])-COUNTBLANK(Table2[[#This Row],[1]:[11]])-1)))</f>
        <v/>
      </c>
    </row>
    <row r="34" spans="1:35" ht="72" x14ac:dyDescent="0.2">
      <c r="A34" s="117" t="s">
        <v>150</v>
      </c>
      <c r="B34" s="21" t="s">
        <v>151</v>
      </c>
      <c r="C34" s="204" t="s">
        <v>152</v>
      </c>
      <c r="D34" s="21"/>
      <c r="E34" s="21" t="s">
        <v>55</v>
      </c>
      <c r="F34" s="22" t="s">
        <v>60</v>
      </c>
      <c r="G34" s="23" cm="1">
        <f t="array" ref="G34">_xlfn.IFS(F34="","",F34="No interest",0,F34="Nice to have",1,F34="Useful",2,F34="Important",3,F34="Very important",4,F34="Critical",5,F34="Show stopper",6)</f>
        <v>6</v>
      </c>
      <c r="H34" s="24">
        <f t="shared" si="1"/>
        <v>9.7165991902834013E-3</v>
      </c>
      <c r="I34" s="25" t="s">
        <v>118</v>
      </c>
      <c r="J34" s="37" t="str" cm="1">
        <f t="array" ref="J34">_xlfn.TEXTJOIN(" "&amp;CHAR(10),,TEXT(SUBSTITUTE(Table2[[#This Row],[12]:[22]],".",","),"0,00%"))</f>
        <v>0,0097165991902834 
0,0048582995951417 
0,00%</v>
      </c>
      <c r="K34" s="26" t="s">
        <v>119</v>
      </c>
      <c r="L34" s="27">
        <f>H34-(H34*((MATCH(Table2[[#This Row],[Evaluators Response (SELECT)]],Table2[[#This Row],[1]:[11]],0)-1)/(COUNTA(Table2[[#This Row],[1]:[11]])-COUNTBLANK(Table2[[#This Row],[1]:[11]])-1)))</f>
        <v>9.7165991902834013E-3</v>
      </c>
      <c r="M34" s="28"/>
      <c r="N34" s="41" t="str" cm="1">
        <f t="array" ref="N34">IFERROR(INDEX(_xlfn.UNIQUE(TRIM(_xlfn.TEXTSPLIT(Table2[[#This Row],[Selection Options]:[Selection Options]],","))),,N$21),"")</f>
        <v>1. Extensive functionality available</v>
      </c>
      <c r="O34" s="29" t="str" cm="1">
        <f t="array" ref="O34">IFERROR(INDEX(_xlfn.UNIQUE(TRIM(_xlfn.TEXTSPLIT(Table2[[#This Row],[Selection Options]:[Selection Options]],","))),,O$21),"")</f>
        <v xml:space="preserve">
2. Limited functionality available</v>
      </c>
      <c r="P34" s="29" t="str" cm="1">
        <f t="array" ref="P34">IFERROR(INDEX(_xlfn.UNIQUE(TRIM(_xlfn.TEXTSPLIT(Table2[[#This Row],[Selection Options]:[Selection Options]],","))),,P$21),"")</f>
        <v xml:space="preserve">
3. Functionality not available</v>
      </c>
      <c r="Q34" s="29" t="str" cm="1">
        <f t="array" ref="Q34">IFERROR(INDEX(_xlfn.UNIQUE(TRIM(_xlfn.TEXTSPLIT(Table2[[#This Row],[Selection Options]:[Selection Options]],","))),,Q$21),"")</f>
        <v/>
      </c>
      <c r="R34" s="29" t="str" cm="1">
        <f t="array" ref="R34">IFERROR(INDEX(_xlfn.UNIQUE(TRIM(_xlfn.TEXTSPLIT(Table2[[#This Row],[Selection Options]:[Selection Options]],","))),,R$21),"")</f>
        <v/>
      </c>
      <c r="S34" s="29" t="str" cm="1">
        <f t="array" ref="S34">IFERROR(INDEX(_xlfn.UNIQUE(TRIM(_xlfn.TEXTSPLIT(Table2[[#This Row],[Selection Options]:[Selection Options]],","))),,S$21),"")</f>
        <v/>
      </c>
      <c r="T34" s="29" t="str" cm="1">
        <f t="array" ref="T34">IFERROR(INDEX(_xlfn.UNIQUE(TRIM(_xlfn.TEXTSPLIT(Table2[[#This Row],[Selection Options]:[Selection Options]],","))),,T$21),"")</f>
        <v/>
      </c>
      <c r="U34" s="29" t="str" cm="1">
        <f t="array" ref="U34">IFERROR(INDEX(_xlfn.UNIQUE(TRIM(_xlfn.TEXTSPLIT(Table2[[#This Row],[Selection Options]:[Selection Options]],","))),,U$21),"")</f>
        <v/>
      </c>
      <c r="V34" s="29" t="str" cm="1">
        <f t="array" ref="V34">IFERROR(INDEX(_xlfn.UNIQUE(TRIM(_xlfn.TEXTSPLIT(Table2[[#This Row],[Selection Options]:[Selection Options]],","))),,V$21),"")</f>
        <v/>
      </c>
      <c r="W34" s="29" t="str" cm="1">
        <f t="array" ref="W34">IFERROR(INDEX(_xlfn.UNIQUE(TRIM(_xlfn.TEXTSPLIT(Table2[[#This Row],[Selection Options]:[Selection Options]],","))),,W$21),"")</f>
        <v/>
      </c>
      <c r="X34" s="29" t="str" cm="1">
        <f t="array" ref="X34">IFERROR(INDEX(_xlfn.UNIQUE(TRIM(_xlfn.TEXTSPLIT(Table2[[#This Row],[Selection Options]:[Selection Options]],","))),,X$21),"")</f>
        <v/>
      </c>
      <c r="Y34" s="30" cm="1">
        <f t="array" ref="Y34">IF(Table2[[#This Row],[1]]="","",Table2[[#This Row],[Weight]:[Weight]]-(Table2[[#This Row],[Weight]:[Weight]]*((_xlfn.XMATCH(Table2[[#This Row],[1]],Table2[[#This Row],[1]:[11]],0))-1)/(COUNTA(Table2[[#This Row],[1]:[11]])-COUNTBLANK(Table2[[#This Row],[1]:[11]])-1)))</f>
        <v>9.7165991902834013E-3</v>
      </c>
      <c r="Z34" s="30" cm="1">
        <f t="array" ref="Z34">IF(Table2[[#This Row],[2]]="","",Table2[[#This Row],[Weight]:[Weight]]-(Table2[[#This Row],[Weight]:[Weight]]*((_xlfn.XMATCH(Table2[[#This Row],[2]],Table2[[#This Row],[1]:[11]],0))-1)/(COUNTA(Table2[[#This Row],[1]:[11]])-COUNTBLANK(Table2[[#This Row],[1]:[11]])-1)))</f>
        <v>4.8582995951417006E-3</v>
      </c>
      <c r="AA34" s="30" cm="1">
        <f t="array" ref="AA34">IF(Table2[[#This Row],[3]]="","",Table2[[#This Row],[Weight]:[Weight]]-(Table2[[#This Row],[Weight]:[Weight]]*((_xlfn.XMATCH(Table2[[#This Row],[3]],Table2[[#This Row],[1]:[11]],0))-1)/(COUNTA(Table2[[#This Row],[1]:[11]])-COUNTBLANK(Table2[[#This Row],[1]:[11]])-1)))</f>
        <v>0</v>
      </c>
      <c r="AB34" s="30" t="str" cm="1">
        <f t="array" ref="AB34">IF(Table2[[#This Row],[4]]="","",Table2[[#This Row],[Weight]:[Weight]]-(Table2[[#This Row],[Weight]:[Weight]]*((_xlfn.XMATCH(Table2[[#This Row],[4]],Table2[[#This Row],[1]:[11]],0))-1)/(COUNTA(Table2[[#This Row],[1]:[11]])-COUNTBLANK(Table2[[#This Row],[1]:[11]])-1)))</f>
        <v/>
      </c>
      <c r="AC34" s="30" t="str" cm="1">
        <f t="array" ref="AC34">IF(Table2[[#This Row],[5]]="","",Table2[[#This Row],[Weight]:[Weight]]-(Table2[[#This Row],[Weight]:[Weight]]*((_xlfn.XMATCH(Table2[[#This Row],[5]],Table2[[#This Row],[1]:[11]],0))-1)/(COUNTA(Table2[[#This Row],[1]:[11]])-COUNTBLANK(Table2[[#This Row],[1]:[11]])-1)))</f>
        <v/>
      </c>
      <c r="AD34" s="30" t="str" cm="1">
        <f t="array" ref="AD34">IF(Table2[[#This Row],[6]]="","",Table2[[#This Row],[Weight]:[Weight]]-(Table2[[#This Row],[Weight]:[Weight]]*((_xlfn.XMATCH(Table2[[#This Row],[6]],Table2[[#This Row],[1]:[11]],0))-1)/(COUNTA(Table2[[#This Row],[1]:[11]])-COUNTBLANK(Table2[[#This Row],[1]:[11]])-1)))</f>
        <v/>
      </c>
      <c r="AE34" s="30" t="str" cm="1">
        <f t="array" ref="AE34">IF(Table2[[#This Row],[7]]="","",Table2[[#This Row],[Weight]:[Weight]]-(Table2[[#This Row],[Weight]:[Weight]]*((_xlfn.XMATCH(Table2[[#This Row],[7]],Table2[[#This Row],[1]:[11]],0))-1)/(COUNTA(Table2[[#This Row],[1]:[11]])-COUNTBLANK(Table2[[#This Row],[1]:[11]])-1)))</f>
        <v/>
      </c>
      <c r="AF34" s="30" t="str" cm="1">
        <f t="array" ref="AF34">IF(Table2[[#This Row],[8]]="","",Table2[[#This Row],[Weight]:[Weight]]-(Table2[[#This Row],[Weight]:[Weight]]*((_xlfn.XMATCH(Table2[[#This Row],[8]],Table2[[#This Row],[1]:[11]],0))-1)/(COUNTA(Table2[[#This Row],[1]:[11]])-COUNTBLANK(Table2[[#This Row],[1]:[11]])-1)))</f>
        <v/>
      </c>
      <c r="AG34" s="41" t="str" cm="1">
        <f t="array" ref="AG34">IF(Table2[[#This Row],[9]]="","",Table2[[#This Row],[Weight]:[Weight]]-(Table2[[#This Row],[Weight]:[Weight]]*((_xlfn.XMATCH(Table2[[#This Row],[9]],Table2[[#This Row],[1]:[11]],0))-1)/(COUNTA(Table2[[#This Row],[1]:[11]])-COUNTBLANK(Table2[[#This Row],[1]:[11]])-1)))</f>
        <v/>
      </c>
      <c r="AH34" s="41" t="str" cm="1">
        <f t="array" ref="AH34">IF(Table2[[#This Row],[10]]="","",Table2[[#This Row],[Weight]:[Weight]]-(Table2[[#This Row],[Weight]:[Weight]]*((_xlfn.XMATCH(Table2[[#This Row],[10]],Table2[[#This Row],[1]:[11]],0))-1)/(COUNTA(Table2[[#This Row],[1]:[11]])-COUNTBLANK(Table2[[#This Row],[1]:[11]])-1)))</f>
        <v/>
      </c>
      <c r="AI34" s="41" t="str" cm="1">
        <f t="array" ref="AI34">IF(Table2[[#This Row],[11]]="","",Table2[[#This Row],[Weight]:[Weight]]-(Table2[[#This Row],[Weight]:[Weight]]*((_xlfn.XMATCH(Table2[[#This Row],[11]],Table2[[#This Row],[1]:[11]],0))-1)/(COUNTA(Table2[[#This Row],[1]:[11]])-COUNTBLANK(Table2[[#This Row],[1]:[11]])-1)))</f>
        <v/>
      </c>
    </row>
    <row r="35" spans="1:35" ht="72" x14ac:dyDescent="0.2">
      <c r="A35" s="117" t="s">
        <v>153</v>
      </c>
      <c r="B35" s="21" t="s">
        <v>154</v>
      </c>
      <c r="C35" s="204" t="s">
        <v>155</v>
      </c>
      <c r="D35" s="21"/>
      <c r="E35" s="21" t="s">
        <v>55</v>
      </c>
      <c r="F35" s="22" t="s">
        <v>60</v>
      </c>
      <c r="G35" s="23" cm="1">
        <f t="array" ref="G35">_xlfn.IFS(F35="","",F35="No interest",0,F35="Nice to have",1,F35="Useful",2,F35="Important",3,F35="Very important",4,F35="Critical",5,F35="Show stopper",6)</f>
        <v>6</v>
      </c>
      <c r="H35" s="24">
        <f t="shared" si="1"/>
        <v>9.7165991902834013E-3</v>
      </c>
      <c r="I35" s="25" t="s">
        <v>118</v>
      </c>
      <c r="J35" s="37" t="str" cm="1">
        <f t="array" ref="J35">_xlfn.TEXTJOIN(" "&amp;CHAR(10),,TEXT(SUBSTITUTE(Table2[[#This Row],[12]:[22]],".",","),"0,00%"))</f>
        <v>0,0097165991902834 
0,0048582995951417 
0,00%</v>
      </c>
      <c r="K35" s="26" t="s">
        <v>119</v>
      </c>
      <c r="L35" s="27">
        <f>H35-(H35*((MATCH(Table2[[#This Row],[Evaluators Response (SELECT)]],Table2[[#This Row],[1]:[11]],0)-1)/(COUNTA(Table2[[#This Row],[1]:[11]])-COUNTBLANK(Table2[[#This Row],[1]:[11]])-1)))</f>
        <v>9.7165991902834013E-3</v>
      </c>
      <c r="M35" s="28"/>
      <c r="N35" s="41" t="str" cm="1">
        <f t="array" ref="N35">IFERROR(INDEX(_xlfn.UNIQUE(TRIM(_xlfn.TEXTSPLIT(Table2[[#This Row],[Selection Options]:[Selection Options]],","))),,N$21),"")</f>
        <v>1. Extensive functionality available</v>
      </c>
      <c r="O35" s="29" t="str" cm="1">
        <f t="array" ref="O35">IFERROR(INDEX(_xlfn.UNIQUE(TRIM(_xlfn.TEXTSPLIT(Table2[[#This Row],[Selection Options]:[Selection Options]],","))),,O$21),"")</f>
        <v xml:space="preserve">
2. Limited functionality available</v>
      </c>
      <c r="P35" s="29" t="str" cm="1">
        <f t="array" ref="P35">IFERROR(INDEX(_xlfn.UNIQUE(TRIM(_xlfn.TEXTSPLIT(Table2[[#This Row],[Selection Options]:[Selection Options]],","))),,P$21),"")</f>
        <v xml:space="preserve">
3. Functionality not available</v>
      </c>
      <c r="Q35" s="29" t="str" cm="1">
        <f t="array" ref="Q35">IFERROR(INDEX(_xlfn.UNIQUE(TRIM(_xlfn.TEXTSPLIT(Table2[[#This Row],[Selection Options]:[Selection Options]],","))),,Q$21),"")</f>
        <v/>
      </c>
      <c r="R35" s="29" t="str" cm="1">
        <f t="array" ref="R35">IFERROR(INDEX(_xlfn.UNIQUE(TRIM(_xlfn.TEXTSPLIT(Table2[[#This Row],[Selection Options]:[Selection Options]],","))),,R$21),"")</f>
        <v/>
      </c>
      <c r="S35" s="29" t="str" cm="1">
        <f t="array" ref="S35">IFERROR(INDEX(_xlfn.UNIQUE(TRIM(_xlfn.TEXTSPLIT(Table2[[#This Row],[Selection Options]:[Selection Options]],","))),,S$21),"")</f>
        <v/>
      </c>
      <c r="T35" s="29" t="str" cm="1">
        <f t="array" ref="T35">IFERROR(INDEX(_xlfn.UNIQUE(TRIM(_xlfn.TEXTSPLIT(Table2[[#This Row],[Selection Options]:[Selection Options]],","))),,T$21),"")</f>
        <v/>
      </c>
      <c r="U35" s="29" t="str" cm="1">
        <f t="array" ref="U35">IFERROR(INDEX(_xlfn.UNIQUE(TRIM(_xlfn.TEXTSPLIT(Table2[[#This Row],[Selection Options]:[Selection Options]],","))),,U$21),"")</f>
        <v/>
      </c>
      <c r="V35" s="29" t="str" cm="1">
        <f t="array" ref="V35">IFERROR(INDEX(_xlfn.UNIQUE(TRIM(_xlfn.TEXTSPLIT(Table2[[#This Row],[Selection Options]:[Selection Options]],","))),,V$21),"")</f>
        <v/>
      </c>
      <c r="W35" s="29" t="str" cm="1">
        <f t="array" ref="W35">IFERROR(INDEX(_xlfn.UNIQUE(TRIM(_xlfn.TEXTSPLIT(Table2[[#This Row],[Selection Options]:[Selection Options]],","))),,W$21),"")</f>
        <v/>
      </c>
      <c r="X35" s="29" t="str" cm="1">
        <f t="array" ref="X35">IFERROR(INDEX(_xlfn.UNIQUE(TRIM(_xlfn.TEXTSPLIT(Table2[[#This Row],[Selection Options]:[Selection Options]],","))),,X$21),"")</f>
        <v/>
      </c>
      <c r="Y35" s="30" cm="1">
        <f t="array" ref="Y35">IF(Table2[[#This Row],[1]]="","",Table2[[#This Row],[Weight]:[Weight]]-(Table2[[#This Row],[Weight]:[Weight]]*((_xlfn.XMATCH(Table2[[#This Row],[1]],Table2[[#This Row],[1]:[11]],0))-1)/(COUNTA(Table2[[#This Row],[1]:[11]])-COUNTBLANK(Table2[[#This Row],[1]:[11]])-1)))</f>
        <v>9.7165991902834013E-3</v>
      </c>
      <c r="Z35" s="30" cm="1">
        <f t="array" ref="Z35">IF(Table2[[#This Row],[2]]="","",Table2[[#This Row],[Weight]:[Weight]]-(Table2[[#This Row],[Weight]:[Weight]]*((_xlfn.XMATCH(Table2[[#This Row],[2]],Table2[[#This Row],[1]:[11]],0))-1)/(COUNTA(Table2[[#This Row],[1]:[11]])-COUNTBLANK(Table2[[#This Row],[1]:[11]])-1)))</f>
        <v>4.8582995951417006E-3</v>
      </c>
      <c r="AA35" s="30" cm="1">
        <f t="array" ref="AA35">IF(Table2[[#This Row],[3]]="","",Table2[[#This Row],[Weight]:[Weight]]-(Table2[[#This Row],[Weight]:[Weight]]*((_xlfn.XMATCH(Table2[[#This Row],[3]],Table2[[#This Row],[1]:[11]],0))-1)/(COUNTA(Table2[[#This Row],[1]:[11]])-COUNTBLANK(Table2[[#This Row],[1]:[11]])-1)))</f>
        <v>0</v>
      </c>
      <c r="AB35" s="30" t="str" cm="1">
        <f t="array" ref="AB35">IF(Table2[[#This Row],[4]]="","",Table2[[#This Row],[Weight]:[Weight]]-(Table2[[#This Row],[Weight]:[Weight]]*((_xlfn.XMATCH(Table2[[#This Row],[4]],Table2[[#This Row],[1]:[11]],0))-1)/(COUNTA(Table2[[#This Row],[1]:[11]])-COUNTBLANK(Table2[[#This Row],[1]:[11]])-1)))</f>
        <v/>
      </c>
      <c r="AC35" s="30" t="str" cm="1">
        <f t="array" ref="AC35">IF(Table2[[#This Row],[5]]="","",Table2[[#This Row],[Weight]:[Weight]]-(Table2[[#This Row],[Weight]:[Weight]]*((_xlfn.XMATCH(Table2[[#This Row],[5]],Table2[[#This Row],[1]:[11]],0))-1)/(COUNTA(Table2[[#This Row],[1]:[11]])-COUNTBLANK(Table2[[#This Row],[1]:[11]])-1)))</f>
        <v/>
      </c>
      <c r="AD35" s="30" t="str" cm="1">
        <f t="array" ref="AD35">IF(Table2[[#This Row],[6]]="","",Table2[[#This Row],[Weight]:[Weight]]-(Table2[[#This Row],[Weight]:[Weight]]*((_xlfn.XMATCH(Table2[[#This Row],[6]],Table2[[#This Row],[1]:[11]],0))-1)/(COUNTA(Table2[[#This Row],[1]:[11]])-COUNTBLANK(Table2[[#This Row],[1]:[11]])-1)))</f>
        <v/>
      </c>
      <c r="AE35" s="30" t="str" cm="1">
        <f t="array" ref="AE35">IF(Table2[[#This Row],[7]]="","",Table2[[#This Row],[Weight]:[Weight]]-(Table2[[#This Row],[Weight]:[Weight]]*((_xlfn.XMATCH(Table2[[#This Row],[7]],Table2[[#This Row],[1]:[11]],0))-1)/(COUNTA(Table2[[#This Row],[1]:[11]])-COUNTBLANK(Table2[[#This Row],[1]:[11]])-1)))</f>
        <v/>
      </c>
      <c r="AF35" s="30" t="str" cm="1">
        <f t="array" ref="AF35">IF(Table2[[#This Row],[8]]="","",Table2[[#This Row],[Weight]:[Weight]]-(Table2[[#This Row],[Weight]:[Weight]]*((_xlfn.XMATCH(Table2[[#This Row],[8]],Table2[[#This Row],[1]:[11]],0))-1)/(COUNTA(Table2[[#This Row],[1]:[11]])-COUNTBLANK(Table2[[#This Row],[1]:[11]])-1)))</f>
        <v/>
      </c>
      <c r="AG35" s="41" t="str" cm="1">
        <f t="array" ref="AG35">IF(Table2[[#This Row],[9]]="","",Table2[[#This Row],[Weight]:[Weight]]-(Table2[[#This Row],[Weight]:[Weight]]*((_xlfn.XMATCH(Table2[[#This Row],[9]],Table2[[#This Row],[1]:[11]],0))-1)/(COUNTA(Table2[[#This Row],[1]:[11]])-COUNTBLANK(Table2[[#This Row],[1]:[11]])-1)))</f>
        <v/>
      </c>
      <c r="AH35" s="41" t="str" cm="1">
        <f t="array" ref="AH35">IF(Table2[[#This Row],[10]]="","",Table2[[#This Row],[Weight]:[Weight]]-(Table2[[#This Row],[Weight]:[Weight]]*((_xlfn.XMATCH(Table2[[#This Row],[10]],Table2[[#This Row],[1]:[11]],0))-1)/(COUNTA(Table2[[#This Row],[1]:[11]])-COUNTBLANK(Table2[[#This Row],[1]:[11]])-1)))</f>
        <v/>
      </c>
      <c r="AI35" s="41" t="str" cm="1">
        <f t="array" ref="AI35">IF(Table2[[#This Row],[11]]="","",Table2[[#This Row],[Weight]:[Weight]]-(Table2[[#This Row],[Weight]:[Weight]]*((_xlfn.XMATCH(Table2[[#This Row],[11]],Table2[[#This Row],[1]:[11]],0))-1)/(COUNTA(Table2[[#This Row],[1]:[11]])-COUNTBLANK(Table2[[#This Row],[1]:[11]])-1)))</f>
        <v/>
      </c>
    </row>
    <row r="36" spans="1:35" ht="72" x14ac:dyDescent="0.2">
      <c r="A36" s="117" t="s">
        <v>156</v>
      </c>
      <c r="B36" s="21" t="s">
        <v>157</v>
      </c>
      <c r="C36" s="204" t="s">
        <v>158</v>
      </c>
      <c r="D36" s="21"/>
      <c r="E36" s="21" t="s">
        <v>55</v>
      </c>
      <c r="F36" s="22" t="s">
        <v>60</v>
      </c>
      <c r="G36" s="23" cm="1">
        <f t="array" ref="G36">_xlfn.IFS(F36="","",F36="No interest",0,F36="Nice to have",1,F36="Useful",2,F36="Important",3,F36="Very important",4,F36="Critical",5,F36="Show stopper",6)</f>
        <v>6</v>
      </c>
      <c r="H36" s="24">
        <f t="shared" si="1"/>
        <v>9.7165991902834013E-3</v>
      </c>
      <c r="I36" s="25" t="s">
        <v>118</v>
      </c>
      <c r="J36" s="37" t="str" cm="1">
        <f t="array" ref="J36">_xlfn.TEXTJOIN(" "&amp;CHAR(10),,TEXT(SUBSTITUTE(Table2[[#This Row],[12]:[22]],".",","),"0,00%"))</f>
        <v>0,0097165991902834 
0,0048582995951417 
0,00%</v>
      </c>
      <c r="K36" s="26" t="s">
        <v>119</v>
      </c>
      <c r="L36" s="27">
        <f>H36-(H36*((MATCH(Table2[[#This Row],[Evaluators Response (SELECT)]],Table2[[#This Row],[1]:[11]],0)-1)/(COUNTA(Table2[[#This Row],[1]:[11]])-COUNTBLANK(Table2[[#This Row],[1]:[11]])-1)))</f>
        <v>9.7165991902834013E-3</v>
      </c>
      <c r="M36" s="28"/>
      <c r="N36" s="41" t="str" cm="1">
        <f t="array" ref="N36">IFERROR(INDEX(_xlfn.UNIQUE(TRIM(_xlfn.TEXTSPLIT(Table2[[#This Row],[Selection Options]:[Selection Options]],","))),,N$21),"")</f>
        <v>1. Extensive functionality available</v>
      </c>
      <c r="O36" s="29" t="str" cm="1">
        <f t="array" ref="O36">IFERROR(INDEX(_xlfn.UNIQUE(TRIM(_xlfn.TEXTSPLIT(Table2[[#This Row],[Selection Options]:[Selection Options]],","))),,O$21),"")</f>
        <v xml:space="preserve">
2. Limited functionality available</v>
      </c>
      <c r="P36" s="29" t="str" cm="1">
        <f t="array" ref="P36">IFERROR(INDEX(_xlfn.UNIQUE(TRIM(_xlfn.TEXTSPLIT(Table2[[#This Row],[Selection Options]:[Selection Options]],","))),,P$21),"")</f>
        <v xml:space="preserve">
3. Functionality not available</v>
      </c>
      <c r="Q36" s="29" t="str" cm="1">
        <f t="array" ref="Q36">IFERROR(INDEX(_xlfn.UNIQUE(TRIM(_xlfn.TEXTSPLIT(Table2[[#This Row],[Selection Options]:[Selection Options]],","))),,Q$21),"")</f>
        <v/>
      </c>
      <c r="R36" s="29" t="str" cm="1">
        <f t="array" ref="R36">IFERROR(INDEX(_xlfn.UNIQUE(TRIM(_xlfn.TEXTSPLIT(Table2[[#This Row],[Selection Options]:[Selection Options]],","))),,R$21),"")</f>
        <v/>
      </c>
      <c r="S36" s="29" t="str" cm="1">
        <f t="array" ref="S36">IFERROR(INDEX(_xlfn.UNIQUE(TRIM(_xlfn.TEXTSPLIT(Table2[[#This Row],[Selection Options]:[Selection Options]],","))),,S$21),"")</f>
        <v/>
      </c>
      <c r="T36" s="29" t="str" cm="1">
        <f t="array" ref="T36">IFERROR(INDEX(_xlfn.UNIQUE(TRIM(_xlfn.TEXTSPLIT(Table2[[#This Row],[Selection Options]:[Selection Options]],","))),,T$21),"")</f>
        <v/>
      </c>
      <c r="U36" s="29" t="str" cm="1">
        <f t="array" ref="U36">IFERROR(INDEX(_xlfn.UNIQUE(TRIM(_xlfn.TEXTSPLIT(Table2[[#This Row],[Selection Options]:[Selection Options]],","))),,U$21),"")</f>
        <v/>
      </c>
      <c r="V36" s="29" t="str" cm="1">
        <f t="array" ref="V36">IFERROR(INDEX(_xlfn.UNIQUE(TRIM(_xlfn.TEXTSPLIT(Table2[[#This Row],[Selection Options]:[Selection Options]],","))),,V$21),"")</f>
        <v/>
      </c>
      <c r="W36" s="29" t="str" cm="1">
        <f t="array" ref="W36">IFERROR(INDEX(_xlfn.UNIQUE(TRIM(_xlfn.TEXTSPLIT(Table2[[#This Row],[Selection Options]:[Selection Options]],","))),,W$21),"")</f>
        <v/>
      </c>
      <c r="X36" s="29" t="str" cm="1">
        <f t="array" ref="X36">IFERROR(INDEX(_xlfn.UNIQUE(TRIM(_xlfn.TEXTSPLIT(Table2[[#This Row],[Selection Options]:[Selection Options]],","))),,X$21),"")</f>
        <v/>
      </c>
      <c r="Y36" s="30" cm="1">
        <f t="array" ref="Y36">IF(Table2[[#This Row],[1]]="","",Table2[[#This Row],[Weight]:[Weight]]-(Table2[[#This Row],[Weight]:[Weight]]*((_xlfn.XMATCH(Table2[[#This Row],[1]],Table2[[#This Row],[1]:[11]],0))-1)/(COUNTA(Table2[[#This Row],[1]:[11]])-COUNTBLANK(Table2[[#This Row],[1]:[11]])-1)))</f>
        <v>9.7165991902834013E-3</v>
      </c>
      <c r="Z36" s="30" cm="1">
        <f t="array" ref="Z36">IF(Table2[[#This Row],[2]]="","",Table2[[#This Row],[Weight]:[Weight]]-(Table2[[#This Row],[Weight]:[Weight]]*((_xlfn.XMATCH(Table2[[#This Row],[2]],Table2[[#This Row],[1]:[11]],0))-1)/(COUNTA(Table2[[#This Row],[1]:[11]])-COUNTBLANK(Table2[[#This Row],[1]:[11]])-1)))</f>
        <v>4.8582995951417006E-3</v>
      </c>
      <c r="AA36" s="30" cm="1">
        <f t="array" ref="AA36">IF(Table2[[#This Row],[3]]="","",Table2[[#This Row],[Weight]:[Weight]]-(Table2[[#This Row],[Weight]:[Weight]]*((_xlfn.XMATCH(Table2[[#This Row],[3]],Table2[[#This Row],[1]:[11]],0))-1)/(COUNTA(Table2[[#This Row],[1]:[11]])-COUNTBLANK(Table2[[#This Row],[1]:[11]])-1)))</f>
        <v>0</v>
      </c>
      <c r="AB36" s="30" t="str" cm="1">
        <f t="array" ref="AB36">IF(Table2[[#This Row],[4]]="","",Table2[[#This Row],[Weight]:[Weight]]-(Table2[[#This Row],[Weight]:[Weight]]*((_xlfn.XMATCH(Table2[[#This Row],[4]],Table2[[#This Row],[1]:[11]],0))-1)/(COUNTA(Table2[[#This Row],[1]:[11]])-COUNTBLANK(Table2[[#This Row],[1]:[11]])-1)))</f>
        <v/>
      </c>
      <c r="AC36" s="30" t="str" cm="1">
        <f t="array" ref="AC36">IF(Table2[[#This Row],[5]]="","",Table2[[#This Row],[Weight]:[Weight]]-(Table2[[#This Row],[Weight]:[Weight]]*((_xlfn.XMATCH(Table2[[#This Row],[5]],Table2[[#This Row],[1]:[11]],0))-1)/(COUNTA(Table2[[#This Row],[1]:[11]])-COUNTBLANK(Table2[[#This Row],[1]:[11]])-1)))</f>
        <v/>
      </c>
      <c r="AD36" s="30" t="str" cm="1">
        <f t="array" ref="AD36">IF(Table2[[#This Row],[6]]="","",Table2[[#This Row],[Weight]:[Weight]]-(Table2[[#This Row],[Weight]:[Weight]]*((_xlfn.XMATCH(Table2[[#This Row],[6]],Table2[[#This Row],[1]:[11]],0))-1)/(COUNTA(Table2[[#This Row],[1]:[11]])-COUNTBLANK(Table2[[#This Row],[1]:[11]])-1)))</f>
        <v/>
      </c>
      <c r="AE36" s="30" t="str" cm="1">
        <f t="array" ref="AE36">IF(Table2[[#This Row],[7]]="","",Table2[[#This Row],[Weight]:[Weight]]-(Table2[[#This Row],[Weight]:[Weight]]*((_xlfn.XMATCH(Table2[[#This Row],[7]],Table2[[#This Row],[1]:[11]],0))-1)/(COUNTA(Table2[[#This Row],[1]:[11]])-COUNTBLANK(Table2[[#This Row],[1]:[11]])-1)))</f>
        <v/>
      </c>
      <c r="AF36" s="30" t="str" cm="1">
        <f t="array" ref="AF36">IF(Table2[[#This Row],[8]]="","",Table2[[#This Row],[Weight]:[Weight]]-(Table2[[#This Row],[Weight]:[Weight]]*((_xlfn.XMATCH(Table2[[#This Row],[8]],Table2[[#This Row],[1]:[11]],0))-1)/(COUNTA(Table2[[#This Row],[1]:[11]])-COUNTBLANK(Table2[[#This Row],[1]:[11]])-1)))</f>
        <v/>
      </c>
      <c r="AG36" s="41" t="str" cm="1">
        <f t="array" ref="AG36">IF(Table2[[#This Row],[9]]="","",Table2[[#This Row],[Weight]:[Weight]]-(Table2[[#This Row],[Weight]:[Weight]]*((_xlfn.XMATCH(Table2[[#This Row],[9]],Table2[[#This Row],[1]:[11]],0))-1)/(COUNTA(Table2[[#This Row],[1]:[11]])-COUNTBLANK(Table2[[#This Row],[1]:[11]])-1)))</f>
        <v/>
      </c>
      <c r="AH36" s="41" t="str" cm="1">
        <f t="array" ref="AH36">IF(Table2[[#This Row],[10]]="","",Table2[[#This Row],[Weight]:[Weight]]-(Table2[[#This Row],[Weight]:[Weight]]*((_xlfn.XMATCH(Table2[[#This Row],[10]],Table2[[#This Row],[1]:[11]],0))-1)/(COUNTA(Table2[[#This Row],[1]:[11]])-COUNTBLANK(Table2[[#This Row],[1]:[11]])-1)))</f>
        <v/>
      </c>
      <c r="AI36" s="41" t="str" cm="1">
        <f t="array" ref="AI36">IF(Table2[[#This Row],[11]]="","",Table2[[#This Row],[Weight]:[Weight]]-(Table2[[#This Row],[Weight]:[Weight]]*((_xlfn.XMATCH(Table2[[#This Row],[11]],Table2[[#This Row],[1]:[11]],0))-1)/(COUNTA(Table2[[#This Row],[1]:[11]])-COUNTBLANK(Table2[[#This Row],[1]:[11]])-1)))</f>
        <v/>
      </c>
    </row>
    <row r="37" spans="1:35" ht="72" x14ac:dyDescent="0.2">
      <c r="A37" s="117" t="s">
        <v>159</v>
      </c>
      <c r="B37" s="21" t="s">
        <v>160</v>
      </c>
      <c r="C37" s="204" t="s">
        <v>161</v>
      </c>
      <c r="D37" s="21"/>
      <c r="E37" s="21" t="s">
        <v>55</v>
      </c>
      <c r="F37" s="22" t="s">
        <v>60</v>
      </c>
      <c r="G37" s="23" cm="1">
        <f t="array" ref="G37">_xlfn.IFS(F37="","",F37="No interest",0,F37="Nice to have",1,F37="Useful",2,F37="Important",3,F37="Very important",4,F37="Critical",5,F37="Show stopper",6)</f>
        <v>6</v>
      </c>
      <c r="H37" s="24">
        <f t="shared" si="1"/>
        <v>9.7165991902834013E-3</v>
      </c>
      <c r="I37" s="25" t="s">
        <v>118</v>
      </c>
      <c r="J37" s="37" t="str" cm="1">
        <f t="array" ref="J37">_xlfn.TEXTJOIN(" "&amp;CHAR(10),,TEXT(SUBSTITUTE(Table2[[#This Row],[12]:[22]],".",","),"0,00%"))</f>
        <v>0,0097165991902834 
0,0048582995951417 
0,00%</v>
      </c>
      <c r="K37" s="26" t="s">
        <v>119</v>
      </c>
      <c r="L37" s="27">
        <f>H37-(H37*((MATCH(Table2[[#This Row],[Evaluators Response (SELECT)]],Table2[[#This Row],[1]:[11]],0)-1)/(COUNTA(Table2[[#This Row],[1]:[11]])-COUNTBLANK(Table2[[#This Row],[1]:[11]])-1)))</f>
        <v>9.7165991902834013E-3</v>
      </c>
      <c r="M37" s="28"/>
      <c r="N37" s="41" t="str" cm="1">
        <f t="array" ref="N37">IFERROR(INDEX(_xlfn.UNIQUE(TRIM(_xlfn.TEXTSPLIT(Table2[[#This Row],[Selection Options]:[Selection Options]],","))),,N$21),"")</f>
        <v>1. Extensive functionality available</v>
      </c>
      <c r="O37" s="29" t="str" cm="1">
        <f t="array" ref="O37">IFERROR(INDEX(_xlfn.UNIQUE(TRIM(_xlfn.TEXTSPLIT(Table2[[#This Row],[Selection Options]:[Selection Options]],","))),,O$21),"")</f>
        <v xml:space="preserve">
2. Limited functionality available</v>
      </c>
      <c r="P37" s="29" t="str" cm="1">
        <f t="array" ref="P37">IFERROR(INDEX(_xlfn.UNIQUE(TRIM(_xlfn.TEXTSPLIT(Table2[[#This Row],[Selection Options]:[Selection Options]],","))),,P$21),"")</f>
        <v xml:space="preserve">
3. Functionality not available</v>
      </c>
      <c r="Q37" s="29" t="str" cm="1">
        <f t="array" ref="Q37">IFERROR(INDEX(_xlfn.UNIQUE(TRIM(_xlfn.TEXTSPLIT(Table2[[#This Row],[Selection Options]:[Selection Options]],","))),,Q$21),"")</f>
        <v/>
      </c>
      <c r="R37" s="29" t="str" cm="1">
        <f t="array" ref="R37">IFERROR(INDEX(_xlfn.UNIQUE(TRIM(_xlfn.TEXTSPLIT(Table2[[#This Row],[Selection Options]:[Selection Options]],","))),,R$21),"")</f>
        <v/>
      </c>
      <c r="S37" s="29" t="str" cm="1">
        <f t="array" ref="S37">IFERROR(INDEX(_xlfn.UNIQUE(TRIM(_xlfn.TEXTSPLIT(Table2[[#This Row],[Selection Options]:[Selection Options]],","))),,S$21),"")</f>
        <v/>
      </c>
      <c r="T37" s="29" t="str" cm="1">
        <f t="array" ref="T37">IFERROR(INDEX(_xlfn.UNIQUE(TRIM(_xlfn.TEXTSPLIT(Table2[[#This Row],[Selection Options]:[Selection Options]],","))),,T$21),"")</f>
        <v/>
      </c>
      <c r="U37" s="29" t="str" cm="1">
        <f t="array" ref="U37">IFERROR(INDEX(_xlfn.UNIQUE(TRIM(_xlfn.TEXTSPLIT(Table2[[#This Row],[Selection Options]:[Selection Options]],","))),,U$21),"")</f>
        <v/>
      </c>
      <c r="V37" s="29" t="str" cm="1">
        <f t="array" ref="V37">IFERROR(INDEX(_xlfn.UNIQUE(TRIM(_xlfn.TEXTSPLIT(Table2[[#This Row],[Selection Options]:[Selection Options]],","))),,V$21),"")</f>
        <v/>
      </c>
      <c r="W37" s="29" t="str" cm="1">
        <f t="array" ref="W37">IFERROR(INDEX(_xlfn.UNIQUE(TRIM(_xlfn.TEXTSPLIT(Table2[[#This Row],[Selection Options]:[Selection Options]],","))),,W$21),"")</f>
        <v/>
      </c>
      <c r="X37" s="29" t="str" cm="1">
        <f t="array" ref="X37">IFERROR(INDEX(_xlfn.UNIQUE(TRIM(_xlfn.TEXTSPLIT(Table2[[#This Row],[Selection Options]:[Selection Options]],","))),,X$21),"")</f>
        <v/>
      </c>
      <c r="Y37" s="30" cm="1">
        <f t="array" ref="Y37">IF(Table2[[#This Row],[1]]="","",Table2[[#This Row],[Weight]:[Weight]]-(Table2[[#This Row],[Weight]:[Weight]]*((_xlfn.XMATCH(Table2[[#This Row],[1]],Table2[[#This Row],[1]:[11]],0))-1)/(COUNTA(Table2[[#This Row],[1]:[11]])-COUNTBLANK(Table2[[#This Row],[1]:[11]])-1)))</f>
        <v>9.7165991902834013E-3</v>
      </c>
      <c r="Z37" s="30" cm="1">
        <f t="array" ref="Z37">IF(Table2[[#This Row],[2]]="","",Table2[[#This Row],[Weight]:[Weight]]-(Table2[[#This Row],[Weight]:[Weight]]*((_xlfn.XMATCH(Table2[[#This Row],[2]],Table2[[#This Row],[1]:[11]],0))-1)/(COUNTA(Table2[[#This Row],[1]:[11]])-COUNTBLANK(Table2[[#This Row],[1]:[11]])-1)))</f>
        <v>4.8582995951417006E-3</v>
      </c>
      <c r="AA37" s="30" cm="1">
        <f t="array" ref="AA37">IF(Table2[[#This Row],[3]]="","",Table2[[#This Row],[Weight]:[Weight]]-(Table2[[#This Row],[Weight]:[Weight]]*((_xlfn.XMATCH(Table2[[#This Row],[3]],Table2[[#This Row],[1]:[11]],0))-1)/(COUNTA(Table2[[#This Row],[1]:[11]])-COUNTBLANK(Table2[[#This Row],[1]:[11]])-1)))</f>
        <v>0</v>
      </c>
      <c r="AB37" s="30" t="str" cm="1">
        <f t="array" ref="AB37">IF(Table2[[#This Row],[4]]="","",Table2[[#This Row],[Weight]:[Weight]]-(Table2[[#This Row],[Weight]:[Weight]]*((_xlfn.XMATCH(Table2[[#This Row],[4]],Table2[[#This Row],[1]:[11]],0))-1)/(COUNTA(Table2[[#This Row],[1]:[11]])-COUNTBLANK(Table2[[#This Row],[1]:[11]])-1)))</f>
        <v/>
      </c>
      <c r="AC37" s="30" t="str" cm="1">
        <f t="array" ref="AC37">IF(Table2[[#This Row],[5]]="","",Table2[[#This Row],[Weight]:[Weight]]-(Table2[[#This Row],[Weight]:[Weight]]*((_xlfn.XMATCH(Table2[[#This Row],[5]],Table2[[#This Row],[1]:[11]],0))-1)/(COUNTA(Table2[[#This Row],[1]:[11]])-COUNTBLANK(Table2[[#This Row],[1]:[11]])-1)))</f>
        <v/>
      </c>
      <c r="AD37" s="30" t="str" cm="1">
        <f t="array" ref="AD37">IF(Table2[[#This Row],[6]]="","",Table2[[#This Row],[Weight]:[Weight]]-(Table2[[#This Row],[Weight]:[Weight]]*((_xlfn.XMATCH(Table2[[#This Row],[6]],Table2[[#This Row],[1]:[11]],0))-1)/(COUNTA(Table2[[#This Row],[1]:[11]])-COUNTBLANK(Table2[[#This Row],[1]:[11]])-1)))</f>
        <v/>
      </c>
      <c r="AE37" s="30" t="str" cm="1">
        <f t="array" ref="AE37">IF(Table2[[#This Row],[7]]="","",Table2[[#This Row],[Weight]:[Weight]]-(Table2[[#This Row],[Weight]:[Weight]]*((_xlfn.XMATCH(Table2[[#This Row],[7]],Table2[[#This Row],[1]:[11]],0))-1)/(COUNTA(Table2[[#This Row],[1]:[11]])-COUNTBLANK(Table2[[#This Row],[1]:[11]])-1)))</f>
        <v/>
      </c>
      <c r="AF37" s="30" t="str" cm="1">
        <f t="array" ref="AF37">IF(Table2[[#This Row],[8]]="","",Table2[[#This Row],[Weight]:[Weight]]-(Table2[[#This Row],[Weight]:[Weight]]*((_xlfn.XMATCH(Table2[[#This Row],[8]],Table2[[#This Row],[1]:[11]],0))-1)/(COUNTA(Table2[[#This Row],[1]:[11]])-COUNTBLANK(Table2[[#This Row],[1]:[11]])-1)))</f>
        <v/>
      </c>
      <c r="AG37" s="41" t="str" cm="1">
        <f t="array" ref="AG37">IF(Table2[[#This Row],[9]]="","",Table2[[#This Row],[Weight]:[Weight]]-(Table2[[#This Row],[Weight]:[Weight]]*((_xlfn.XMATCH(Table2[[#This Row],[9]],Table2[[#This Row],[1]:[11]],0))-1)/(COUNTA(Table2[[#This Row],[1]:[11]])-COUNTBLANK(Table2[[#This Row],[1]:[11]])-1)))</f>
        <v/>
      </c>
      <c r="AH37" s="41" t="str" cm="1">
        <f t="array" ref="AH37">IF(Table2[[#This Row],[10]]="","",Table2[[#This Row],[Weight]:[Weight]]-(Table2[[#This Row],[Weight]:[Weight]]*((_xlfn.XMATCH(Table2[[#This Row],[10]],Table2[[#This Row],[1]:[11]],0))-1)/(COUNTA(Table2[[#This Row],[1]:[11]])-COUNTBLANK(Table2[[#This Row],[1]:[11]])-1)))</f>
        <v/>
      </c>
      <c r="AI37" s="41" t="str" cm="1">
        <f t="array" ref="AI37">IF(Table2[[#This Row],[11]]="","",Table2[[#This Row],[Weight]:[Weight]]-(Table2[[#This Row],[Weight]:[Weight]]*((_xlfn.XMATCH(Table2[[#This Row],[11]],Table2[[#This Row],[1]:[11]],0))-1)/(COUNTA(Table2[[#This Row],[1]:[11]])-COUNTBLANK(Table2[[#This Row],[1]:[11]])-1)))</f>
        <v/>
      </c>
    </row>
    <row r="38" spans="1:35" ht="72" x14ac:dyDescent="0.2">
      <c r="A38" s="117" t="s">
        <v>162</v>
      </c>
      <c r="B38" s="21" t="s">
        <v>163</v>
      </c>
      <c r="C38" s="204" t="s">
        <v>164</v>
      </c>
      <c r="D38" s="21"/>
      <c r="E38" s="21" t="s">
        <v>55</v>
      </c>
      <c r="F38" s="22" t="s">
        <v>60</v>
      </c>
      <c r="G38" s="23" cm="1">
        <f t="array" ref="G38">_xlfn.IFS(F38="","",F38="No interest",0,F38="Nice to have",1,F38="Useful",2,F38="Important",3,F38="Very important",4,F38="Critical",5,F38="Show stopper",6)</f>
        <v>6</v>
      </c>
      <c r="H38" s="24">
        <f t="shared" si="1"/>
        <v>9.7165991902834013E-3</v>
      </c>
      <c r="I38" s="25" t="s">
        <v>118</v>
      </c>
      <c r="J38" s="37" t="str" cm="1">
        <f t="array" ref="J38">_xlfn.TEXTJOIN(" "&amp;CHAR(10),,TEXT(SUBSTITUTE(Table2[[#This Row],[12]:[22]],".",","),"0,00%"))</f>
        <v>0,0097165991902834 
0,0048582995951417 
0,00%</v>
      </c>
      <c r="K38" s="26" t="s">
        <v>119</v>
      </c>
      <c r="L38" s="27">
        <f>H38-(H38*((MATCH(Table2[[#This Row],[Evaluators Response (SELECT)]],Table2[[#This Row],[1]:[11]],0)-1)/(COUNTA(Table2[[#This Row],[1]:[11]])-COUNTBLANK(Table2[[#This Row],[1]:[11]])-1)))</f>
        <v>9.7165991902834013E-3</v>
      </c>
      <c r="M38" s="28"/>
      <c r="N38" s="41" t="str" cm="1">
        <f t="array" ref="N38">IFERROR(INDEX(_xlfn.UNIQUE(TRIM(_xlfn.TEXTSPLIT(Table2[[#This Row],[Selection Options]:[Selection Options]],","))),,N$21),"")</f>
        <v>1. Extensive functionality available</v>
      </c>
      <c r="O38" s="29" t="str" cm="1">
        <f t="array" ref="O38">IFERROR(INDEX(_xlfn.UNIQUE(TRIM(_xlfn.TEXTSPLIT(Table2[[#This Row],[Selection Options]:[Selection Options]],","))),,O$21),"")</f>
        <v xml:space="preserve">
2. Limited functionality available</v>
      </c>
      <c r="P38" s="29" t="str" cm="1">
        <f t="array" ref="P38">IFERROR(INDEX(_xlfn.UNIQUE(TRIM(_xlfn.TEXTSPLIT(Table2[[#This Row],[Selection Options]:[Selection Options]],","))),,P$21),"")</f>
        <v xml:space="preserve">
3. Functionality not available</v>
      </c>
      <c r="Q38" s="29" t="str" cm="1">
        <f t="array" ref="Q38">IFERROR(INDEX(_xlfn.UNIQUE(TRIM(_xlfn.TEXTSPLIT(Table2[[#This Row],[Selection Options]:[Selection Options]],","))),,Q$21),"")</f>
        <v/>
      </c>
      <c r="R38" s="29" t="str" cm="1">
        <f t="array" ref="R38">IFERROR(INDEX(_xlfn.UNIQUE(TRIM(_xlfn.TEXTSPLIT(Table2[[#This Row],[Selection Options]:[Selection Options]],","))),,R$21),"")</f>
        <v/>
      </c>
      <c r="S38" s="29" t="str" cm="1">
        <f t="array" ref="S38">IFERROR(INDEX(_xlfn.UNIQUE(TRIM(_xlfn.TEXTSPLIT(Table2[[#This Row],[Selection Options]:[Selection Options]],","))),,S$21),"")</f>
        <v/>
      </c>
      <c r="T38" s="29" t="str" cm="1">
        <f t="array" ref="T38">IFERROR(INDEX(_xlfn.UNIQUE(TRIM(_xlfn.TEXTSPLIT(Table2[[#This Row],[Selection Options]:[Selection Options]],","))),,T$21),"")</f>
        <v/>
      </c>
      <c r="U38" s="29" t="str" cm="1">
        <f t="array" ref="U38">IFERROR(INDEX(_xlfn.UNIQUE(TRIM(_xlfn.TEXTSPLIT(Table2[[#This Row],[Selection Options]:[Selection Options]],","))),,U$21),"")</f>
        <v/>
      </c>
      <c r="V38" s="29" t="str" cm="1">
        <f t="array" ref="V38">IFERROR(INDEX(_xlfn.UNIQUE(TRIM(_xlfn.TEXTSPLIT(Table2[[#This Row],[Selection Options]:[Selection Options]],","))),,V$21),"")</f>
        <v/>
      </c>
      <c r="W38" s="29" t="str" cm="1">
        <f t="array" ref="W38">IFERROR(INDEX(_xlfn.UNIQUE(TRIM(_xlfn.TEXTSPLIT(Table2[[#This Row],[Selection Options]:[Selection Options]],","))),,W$21),"")</f>
        <v/>
      </c>
      <c r="X38" s="29" t="str" cm="1">
        <f t="array" ref="X38">IFERROR(INDEX(_xlfn.UNIQUE(TRIM(_xlfn.TEXTSPLIT(Table2[[#This Row],[Selection Options]:[Selection Options]],","))),,X$21),"")</f>
        <v/>
      </c>
      <c r="Y38" s="30" cm="1">
        <f t="array" ref="Y38">IF(Table2[[#This Row],[1]]="","",Table2[[#This Row],[Weight]:[Weight]]-(Table2[[#This Row],[Weight]:[Weight]]*((_xlfn.XMATCH(Table2[[#This Row],[1]],Table2[[#This Row],[1]:[11]],0))-1)/(COUNTA(Table2[[#This Row],[1]:[11]])-COUNTBLANK(Table2[[#This Row],[1]:[11]])-1)))</f>
        <v>9.7165991902834013E-3</v>
      </c>
      <c r="Z38" s="30" cm="1">
        <f t="array" ref="Z38">IF(Table2[[#This Row],[2]]="","",Table2[[#This Row],[Weight]:[Weight]]-(Table2[[#This Row],[Weight]:[Weight]]*((_xlfn.XMATCH(Table2[[#This Row],[2]],Table2[[#This Row],[1]:[11]],0))-1)/(COUNTA(Table2[[#This Row],[1]:[11]])-COUNTBLANK(Table2[[#This Row],[1]:[11]])-1)))</f>
        <v>4.8582995951417006E-3</v>
      </c>
      <c r="AA38" s="30" cm="1">
        <f t="array" ref="AA38">IF(Table2[[#This Row],[3]]="","",Table2[[#This Row],[Weight]:[Weight]]-(Table2[[#This Row],[Weight]:[Weight]]*((_xlfn.XMATCH(Table2[[#This Row],[3]],Table2[[#This Row],[1]:[11]],0))-1)/(COUNTA(Table2[[#This Row],[1]:[11]])-COUNTBLANK(Table2[[#This Row],[1]:[11]])-1)))</f>
        <v>0</v>
      </c>
      <c r="AB38" s="30" t="str" cm="1">
        <f t="array" ref="AB38">IF(Table2[[#This Row],[4]]="","",Table2[[#This Row],[Weight]:[Weight]]-(Table2[[#This Row],[Weight]:[Weight]]*((_xlfn.XMATCH(Table2[[#This Row],[4]],Table2[[#This Row],[1]:[11]],0))-1)/(COUNTA(Table2[[#This Row],[1]:[11]])-COUNTBLANK(Table2[[#This Row],[1]:[11]])-1)))</f>
        <v/>
      </c>
      <c r="AC38" s="30" t="str" cm="1">
        <f t="array" ref="AC38">IF(Table2[[#This Row],[5]]="","",Table2[[#This Row],[Weight]:[Weight]]-(Table2[[#This Row],[Weight]:[Weight]]*((_xlfn.XMATCH(Table2[[#This Row],[5]],Table2[[#This Row],[1]:[11]],0))-1)/(COUNTA(Table2[[#This Row],[1]:[11]])-COUNTBLANK(Table2[[#This Row],[1]:[11]])-1)))</f>
        <v/>
      </c>
      <c r="AD38" s="30" t="str" cm="1">
        <f t="array" ref="AD38">IF(Table2[[#This Row],[6]]="","",Table2[[#This Row],[Weight]:[Weight]]-(Table2[[#This Row],[Weight]:[Weight]]*((_xlfn.XMATCH(Table2[[#This Row],[6]],Table2[[#This Row],[1]:[11]],0))-1)/(COUNTA(Table2[[#This Row],[1]:[11]])-COUNTBLANK(Table2[[#This Row],[1]:[11]])-1)))</f>
        <v/>
      </c>
      <c r="AE38" s="30" t="str" cm="1">
        <f t="array" ref="AE38">IF(Table2[[#This Row],[7]]="","",Table2[[#This Row],[Weight]:[Weight]]-(Table2[[#This Row],[Weight]:[Weight]]*((_xlfn.XMATCH(Table2[[#This Row],[7]],Table2[[#This Row],[1]:[11]],0))-1)/(COUNTA(Table2[[#This Row],[1]:[11]])-COUNTBLANK(Table2[[#This Row],[1]:[11]])-1)))</f>
        <v/>
      </c>
      <c r="AF38" s="30" t="str" cm="1">
        <f t="array" ref="AF38">IF(Table2[[#This Row],[8]]="","",Table2[[#This Row],[Weight]:[Weight]]-(Table2[[#This Row],[Weight]:[Weight]]*((_xlfn.XMATCH(Table2[[#This Row],[8]],Table2[[#This Row],[1]:[11]],0))-1)/(COUNTA(Table2[[#This Row],[1]:[11]])-COUNTBLANK(Table2[[#This Row],[1]:[11]])-1)))</f>
        <v/>
      </c>
      <c r="AG38" s="41" t="str" cm="1">
        <f t="array" ref="AG38">IF(Table2[[#This Row],[9]]="","",Table2[[#This Row],[Weight]:[Weight]]-(Table2[[#This Row],[Weight]:[Weight]]*((_xlfn.XMATCH(Table2[[#This Row],[9]],Table2[[#This Row],[1]:[11]],0))-1)/(COUNTA(Table2[[#This Row],[1]:[11]])-COUNTBLANK(Table2[[#This Row],[1]:[11]])-1)))</f>
        <v/>
      </c>
      <c r="AH38" s="41" t="str" cm="1">
        <f t="array" ref="AH38">IF(Table2[[#This Row],[10]]="","",Table2[[#This Row],[Weight]:[Weight]]-(Table2[[#This Row],[Weight]:[Weight]]*((_xlfn.XMATCH(Table2[[#This Row],[10]],Table2[[#This Row],[1]:[11]],0))-1)/(COUNTA(Table2[[#This Row],[1]:[11]])-COUNTBLANK(Table2[[#This Row],[1]:[11]])-1)))</f>
        <v/>
      </c>
      <c r="AI38" s="41" t="str" cm="1">
        <f t="array" ref="AI38">IF(Table2[[#This Row],[11]]="","",Table2[[#This Row],[Weight]:[Weight]]-(Table2[[#This Row],[Weight]:[Weight]]*((_xlfn.XMATCH(Table2[[#This Row],[11]],Table2[[#This Row],[1]:[11]],0))-1)/(COUNTA(Table2[[#This Row],[1]:[11]])-COUNTBLANK(Table2[[#This Row],[1]:[11]])-1)))</f>
        <v/>
      </c>
    </row>
    <row r="39" spans="1:35" ht="72" x14ac:dyDescent="0.2">
      <c r="A39" s="117" t="s">
        <v>165</v>
      </c>
      <c r="B39" s="21" t="s">
        <v>166</v>
      </c>
      <c r="C39" s="204" t="s">
        <v>167</v>
      </c>
      <c r="D39" s="21"/>
      <c r="E39" s="21" t="s">
        <v>55</v>
      </c>
      <c r="F39" s="22" t="s">
        <v>60</v>
      </c>
      <c r="G39" s="23" cm="1">
        <f t="array" ref="G39">_xlfn.IFS(F39="","",F39="No interest",0,F39="Nice to have",1,F39="Useful",2,F39="Important",3,F39="Very important",4,F39="Critical",5,F39="Show stopper",6)</f>
        <v>6</v>
      </c>
      <c r="H39" s="24">
        <f t="shared" si="1"/>
        <v>9.7165991902834013E-3</v>
      </c>
      <c r="I39" s="25" t="s">
        <v>118</v>
      </c>
      <c r="J39" s="37" t="str" cm="1">
        <f t="array" ref="J39">_xlfn.TEXTJOIN(" "&amp;CHAR(10),,TEXT(SUBSTITUTE(Table2[[#This Row],[12]:[22]],".",","),"0,00%"))</f>
        <v>0,0097165991902834 
0,0048582995951417 
0,00%</v>
      </c>
      <c r="K39" s="26" t="s">
        <v>119</v>
      </c>
      <c r="L39" s="27">
        <f>H39-(H39*((MATCH(Table2[[#This Row],[Evaluators Response (SELECT)]],Table2[[#This Row],[1]:[11]],0)-1)/(COUNTA(Table2[[#This Row],[1]:[11]])-COUNTBLANK(Table2[[#This Row],[1]:[11]])-1)))</f>
        <v>9.7165991902834013E-3</v>
      </c>
      <c r="M39" s="28"/>
      <c r="N39" s="41" t="str" cm="1">
        <f t="array" ref="N39">IFERROR(INDEX(_xlfn.UNIQUE(TRIM(_xlfn.TEXTSPLIT(Table2[[#This Row],[Selection Options]:[Selection Options]],","))),,N$21),"")</f>
        <v>1. Extensive functionality available</v>
      </c>
      <c r="O39" s="29" t="str" cm="1">
        <f t="array" ref="O39">IFERROR(INDEX(_xlfn.UNIQUE(TRIM(_xlfn.TEXTSPLIT(Table2[[#This Row],[Selection Options]:[Selection Options]],","))),,O$21),"")</f>
        <v xml:space="preserve">
2. Limited functionality available</v>
      </c>
      <c r="P39" s="29" t="str" cm="1">
        <f t="array" ref="P39">IFERROR(INDEX(_xlfn.UNIQUE(TRIM(_xlfn.TEXTSPLIT(Table2[[#This Row],[Selection Options]:[Selection Options]],","))),,P$21),"")</f>
        <v xml:space="preserve">
3. Functionality not available</v>
      </c>
      <c r="Q39" s="29" t="str" cm="1">
        <f t="array" ref="Q39">IFERROR(INDEX(_xlfn.UNIQUE(TRIM(_xlfn.TEXTSPLIT(Table2[[#This Row],[Selection Options]:[Selection Options]],","))),,Q$21),"")</f>
        <v/>
      </c>
      <c r="R39" s="29" t="str" cm="1">
        <f t="array" ref="R39">IFERROR(INDEX(_xlfn.UNIQUE(TRIM(_xlfn.TEXTSPLIT(Table2[[#This Row],[Selection Options]:[Selection Options]],","))),,R$21),"")</f>
        <v/>
      </c>
      <c r="S39" s="29" t="str" cm="1">
        <f t="array" ref="S39">IFERROR(INDEX(_xlfn.UNIQUE(TRIM(_xlfn.TEXTSPLIT(Table2[[#This Row],[Selection Options]:[Selection Options]],","))),,S$21),"")</f>
        <v/>
      </c>
      <c r="T39" s="29" t="str" cm="1">
        <f t="array" ref="T39">IFERROR(INDEX(_xlfn.UNIQUE(TRIM(_xlfn.TEXTSPLIT(Table2[[#This Row],[Selection Options]:[Selection Options]],","))),,T$21),"")</f>
        <v/>
      </c>
      <c r="U39" s="29" t="str" cm="1">
        <f t="array" ref="U39">IFERROR(INDEX(_xlfn.UNIQUE(TRIM(_xlfn.TEXTSPLIT(Table2[[#This Row],[Selection Options]:[Selection Options]],","))),,U$21),"")</f>
        <v/>
      </c>
      <c r="V39" s="29" t="str" cm="1">
        <f t="array" ref="V39">IFERROR(INDEX(_xlfn.UNIQUE(TRIM(_xlfn.TEXTSPLIT(Table2[[#This Row],[Selection Options]:[Selection Options]],","))),,V$21),"")</f>
        <v/>
      </c>
      <c r="W39" s="29" t="str" cm="1">
        <f t="array" ref="W39">IFERROR(INDEX(_xlfn.UNIQUE(TRIM(_xlfn.TEXTSPLIT(Table2[[#This Row],[Selection Options]:[Selection Options]],","))),,W$21),"")</f>
        <v/>
      </c>
      <c r="X39" s="29" t="str" cm="1">
        <f t="array" ref="X39">IFERROR(INDEX(_xlfn.UNIQUE(TRIM(_xlfn.TEXTSPLIT(Table2[[#This Row],[Selection Options]:[Selection Options]],","))),,X$21),"")</f>
        <v/>
      </c>
      <c r="Y39" s="30" cm="1">
        <f t="array" ref="Y39">IF(Table2[[#This Row],[1]]="","",Table2[[#This Row],[Weight]:[Weight]]-(Table2[[#This Row],[Weight]:[Weight]]*((_xlfn.XMATCH(Table2[[#This Row],[1]],Table2[[#This Row],[1]:[11]],0))-1)/(COUNTA(Table2[[#This Row],[1]:[11]])-COUNTBLANK(Table2[[#This Row],[1]:[11]])-1)))</f>
        <v>9.7165991902834013E-3</v>
      </c>
      <c r="Z39" s="30" cm="1">
        <f t="array" ref="Z39">IF(Table2[[#This Row],[2]]="","",Table2[[#This Row],[Weight]:[Weight]]-(Table2[[#This Row],[Weight]:[Weight]]*((_xlfn.XMATCH(Table2[[#This Row],[2]],Table2[[#This Row],[1]:[11]],0))-1)/(COUNTA(Table2[[#This Row],[1]:[11]])-COUNTBLANK(Table2[[#This Row],[1]:[11]])-1)))</f>
        <v>4.8582995951417006E-3</v>
      </c>
      <c r="AA39" s="30" cm="1">
        <f t="array" ref="AA39">IF(Table2[[#This Row],[3]]="","",Table2[[#This Row],[Weight]:[Weight]]-(Table2[[#This Row],[Weight]:[Weight]]*((_xlfn.XMATCH(Table2[[#This Row],[3]],Table2[[#This Row],[1]:[11]],0))-1)/(COUNTA(Table2[[#This Row],[1]:[11]])-COUNTBLANK(Table2[[#This Row],[1]:[11]])-1)))</f>
        <v>0</v>
      </c>
      <c r="AB39" s="30" t="str" cm="1">
        <f t="array" ref="AB39">IF(Table2[[#This Row],[4]]="","",Table2[[#This Row],[Weight]:[Weight]]-(Table2[[#This Row],[Weight]:[Weight]]*((_xlfn.XMATCH(Table2[[#This Row],[4]],Table2[[#This Row],[1]:[11]],0))-1)/(COUNTA(Table2[[#This Row],[1]:[11]])-COUNTBLANK(Table2[[#This Row],[1]:[11]])-1)))</f>
        <v/>
      </c>
      <c r="AC39" s="30" t="str" cm="1">
        <f t="array" ref="AC39">IF(Table2[[#This Row],[5]]="","",Table2[[#This Row],[Weight]:[Weight]]-(Table2[[#This Row],[Weight]:[Weight]]*((_xlfn.XMATCH(Table2[[#This Row],[5]],Table2[[#This Row],[1]:[11]],0))-1)/(COUNTA(Table2[[#This Row],[1]:[11]])-COUNTBLANK(Table2[[#This Row],[1]:[11]])-1)))</f>
        <v/>
      </c>
      <c r="AD39" s="30" t="str" cm="1">
        <f t="array" ref="AD39">IF(Table2[[#This Row],[6]]="","",Table2[[#This Row],[Weight]:[Weight]]-(Table2[[#This Row],[Weight]:[Weight]]*((_xlfn.XMATCH(Table2[[#This Row],[6]],Table2[[#This Row],[1]:[11]],0))-1)/(COUNTA(Table2[[#This Row],[1]:[11]])-COUNTBLANK(Table2[[#This Row],[1]:[11]])-1)))</f>
        <v/>
      </c>
      <c r="AE39" s="30" t="str" cm="1">
        <f t="array" ref="AE39">IF(Table2[[#This Row],[7]]="","",Table2[[#This Row],[Weight]:[Weight]]-(Table2[[#This Row],[Weight]:[Weight]]*((_xlfn.XMATCH(Table2[[#This Row],[7]],Table2[[#This Row],[1]:[11]],0))-1)/(COUNTA(Table2[[#This Row],[1]:[11]])-COUNTBLANK(Table2[[#This Row],[1]:[11]])-1)))</f>
        <v/>
      </c>
      <c r="AF39" s="30" t="str" cm="1">
        <f t="array" ref="AF39">IF(Table2[[#This Row],[8]]="","",Table2[[#This Row],[Weight]:[Weight]]-(Table2[[#This Row],[Weight]:[Weight]]*((_xlfn.XMATCH(Table2[[#This Row],[8]],Table2[[#This Row],[1]:[11]],0))-1)/(COUNTA(Table2[[#This Row],[1]:[11]])-COUNTBLANK(Table2[[#This Row],[1]:[11]])-1)))</f>
        <v/>
      </c>
      <c r="AG39" s="41" t="str" cm="1">
        <f t="array" ref="AG39">IF(Table2[[#This Row],[9]]="","",Table2[[#This Row],[Weight]:[Weight]]-(Table2[[#This Row],[Weight]:[Weight]]*((_xlfn.XMATCH(Table2[[#This Row],[9]],Table2[[#This Row],[1]:[11]],0))-1)/(COUNTA(Table2[[#This Row],[1]:[11]])-COUNTBLANK(Table2[[#This Row],[1]:[11]])-1)))</f>
        <v/>
      </c>
      <c r="AH39" s="41" t="str" cm="1">
        <f t="array" ref="AH39">IF(Table2[[#This Row],[10]]="","",Table2[[#This Row],[Weight]:[Weight]]-(Table2[[#This Row],[Weight]:[Weight]]*((_xlfn.XMATCH(Table2[[#This Row],[10]],Table2[[#This Row],[1]:[11]],0))-1)/(COUNTA(Table2[[#This Row],[1]:[11]])-COUNTBLANK(Table2[[#This Row],[1]:[11]])-1)))</f>
        <v/>
      </c>
      <c r="AI39" s="41" t="str" cm="1">
        <f t="array" ref="AI39">IF(Table2[[#This Row],[11]]="","",Table2[[#This Row],[Weight]:[Weight]]-(Table2[[#This Row],[Weight]:[Weight]]*((_xlfn.XMATCH(Table2[[#This Row],[11]],Table2[[#This Row],[1]:[11]],0))-1)/(COUNTA(Table2[[#This Row],[1]:[11]])-COUNTBLANK(Table2[[#This Row],[1]:[11]])-1)))</f>
        <v/>
      </c>
    </row>
    <row r="40" spans="1:35" ht="72" x14ac:dyDescent="0.2">
      <c r="A40" s="117" t="s">
        <v>168</v>
      </c>
      <c r="B40" s="21" t="s">
        <v>169</v>
      </c>
      <c r="C40" s="204" t="s">
        <v>170</v>
      </c>
      <c r="D40" s="21"/>
      <c r="E40" s="21" t="s">
        <v>55</v>
      </c>
      <c r="F40" s="22" t="s">
        <v>60</v>
      </c>
      <c r="G40" s="23" cm="1">
        <f t="array" ref="G40">_xlfn.IFS(F40="","",F40="No interest",0,F40="Nice to have",1,F40="Useful",2,F40="Important",3,F40="Very important",4,F40="Critical",5,F40="Show stopper",6)</f>
        <v>6</v>
      </c>
      <c r="H40" s="24">
        <f t="shared" si="1"/>
        <v>9.7165991902834013E-3</v>
      </c>
      <c r="I40" s="25" t="s">
        <v>118</v>
      </c>
      <c r="J40" s="37" t="str" cm="1">
        <f t="array" ref="J40">_xlfn.TEXTJOIN(" "&amp;CHAR(10),,TEXT(SUBSTITUTE(Table2[[#This Row],[12]:[22]],".",","),"0,00%"))</f>
        <v>0,0097165991902834 
0,0048582995951417 
0,00%</v>
      </c>
      <c r="K40" s="26" t="s">
        <v>119</v>
      </c>
      <c r="L40" s="27">
        <f>H40-(H40*((MATCH(Table2[[#This Row],[Evaluators Response (SELECT)]],Table2[[#This Row],[1]:[11]],0)-1)/(COUNTA(Table2[[#This Row],[1]:[11]])-COUNTBLANK(Table2[[#This Row],[1]:[11]])-1)))</f>
        <v>9.7165991902834013E-3</v>
      </c>
      <c r="M40" s="28"/>
      <c r="N40" s="41" t="str" cm="1">
        <f t="array" ref="N40">IFERROR(INDEX(_xlfn.UNIQUE(TRIM(_xlfn.TEXTSPLIT(Table2[[#This Row],[Selection Options]:[Selection Options]],","))),,N$21),"")</f>
        <v>1. Extensive functionality available</v>
      </c>
      <c r="O40" s="29" t="str" cm="1">
        <f t="array" ref="O40">IFERROR(INDEX(_xlfn.UNIQUE(TRIM(_xlfn.TEXTSPLIT(Table2[[#This Row],[Selection Options]:[Selection Options]],","))),,O$21),"")</f>
        <v xml:space="preserve">
2. Limited functionality available</v>
      </c>
      <c r="P40" s="29" t="str" cm="1">
        <f t="array" ref="P40">IFERROR(INDEX(_xlfn.UNIQUE(TRIM(_xlfn.TEXTSPLIT(Table2[[#This Row],[Selection Options]:[Selection Options]],","))),,P$21),"")</f>
        <v xml:space="preserve">
3. Functionality not available</v>
      </c>
      <c r="Q40" s="29" t="str" cm="1">
        <f t="array" ref="Q40">IFERROR(INDEX(_xlfn.UNIQUE(TRIM(_xlfn.TEXTSPLIT(Table2[[#This Row],[Selection Options]:[Selection Options]],","))),,Q$21),"")</f>
        <v/>
      </c>
      <c r="R40" s="29" t="str" cm="1">
        <f t="array" ref="R40">IFERROR(INDEX(_xlfn.UNIQUE(TRIM(_xlfn.TEXTSPLIT(Table2[[#This Row],[Selection Options]:[Selection Options]],","))),,R$21),"")</f>
        <v/>
      </c>
      <c r="S40" s="29" t="str" cm="1">
        <f t="array" ref="S40">IFERROR(INDEX(_xlfn.UNIQUE(TRIM(_xlfn.TEXTSPLIT(Table2[[#This Row],[Selection Options]:[Selection Options]],","))),,S$21),"")</f>
        <v/>
      </c>
      <c r="T40" s="29" t="str" cm="1">
        <f t="array" ref="T40">IFERROR(INDEX(_xlfn.UNIQUE(TRIM(_xlfn.TEXTSPLIT(Table2[[#This Row],[Selection Options]:[Selection Options]],","))),,T$21),"")</f>
        <v/>
      </c>
      <c r="U40" s="29" t="str" cm="1">
        <f t="array" ref="U40">IFERROR(INDEX(_xlfn.UNIQUE(TRIM(_xlfn.TEXTSPLIT(Table2[[#This Row],[Selection Options]:[Selection Options]],","))),,U$21),"")</f>
        <v/>
      </c>
      <c r="V40" s="29" t="str" cm="1">
        <f t="array" ref="V40">IFERROR(INDEX(_xlfn.UNIQUE(TRIM(_xlfn.TEXTSPLIT(Table2[[#This Row],[Selection Options]:[Selection Options]],","))),,V$21),"")</f>
        <v/>
      </c>
      <c r="W40" s="29" t="str" cm="1">
        <f t="array" ref="W40">IFERROR(INDEX(_xlfn.UNIQUE(TRIM(_xlfn.TEXTSPLIT(Table2[[#This Row],[Selection Options]:[Selection Options]],","))),,W$21),"")</f>
        <v/>
      </c>
      <c r="X40" s="29" t="str" cm="1">
        <f t="array" ref="X40">IFERROR(INDEX(_xlfn.UNIQUE(TRIM(_xlfn.TEXTSPLIT(Table2[[#This Row],[Selection Options]:[Selection Options]],","))),,X$21),"")</f>
        <v/>
      </c>
      <c r="Y40" s="30" cm="1">
        <f t="array" ref="Y40">IF(Table2[[#This Row],[1]]="","",Table2[[#This Row],[Weight]:[Weight]]-(Table2[[#This Row],[Weight]:[Weight]]*((_xlfn.XMATCH(Table2[[#This Row],[1]],Table2[[#This Row],[1]:[11]],0))-1)/(COUNTA(Table2[[#This Row],[1]:[11]])-COUNTBLANK(Table2[[#This Row],[1]:[11]])-1)))</f>
        <v>9.7165991902834013E-3</v>
      </c>
      <c r="Z40" s="30" cm="1">
        <f t="array" ref="Z40">IF(Table2[[#This Row],[2]]="","",Table2[[#This Row],[Weight]:[Weight]]-(Table2[[#This Row],[Weight]:[Weight]]*((_xlfn.XMATCH(Table2[[#This Row],[2]],Table2[[#This Row],[1]:[11]],0))-1)/(COUNTA(Table2[[#This Row],[1]:[11]])-COUNTBLANK(Table2[[#This Row],[1]:[11]])-1)))</f>
        <v>4.8582995951417006E-3</v>
      </c>
      <c r="AA40" s="30" cm="1">
        <f t="array" ref="AA40">IF(Table2[[#This Row],[3]]="","",Table2[[#This Row],[Weight]:[Weight]]-(Table2[[#This Row],[Weight]:[Weight]]*((_xlfn.XMATCH(Table2[[#This Row],[3]],Table2[[#This Row],[1]:[11]],0))-1)/(COUNTA(Table2[[#This Row],[1]:[11]])-COUNTBLANK(Table2[[#This Row],[1]:[11]])-1)))</f>
        <v>0</v>
      </c>
      <c r="AB40" s="30" t="str" cm="1">
        <f t="array" ref="AB40">IF(Table2[[#This Row],[4]]="","",Table2[[#This Row],[Weight]:[Weight]]-(Table2[[#This Row],[Weight]:[Weight]]*((_xlfn.XMATCH(Table2[[#This Row],[4]],Table2[[#This Row],[1]:[11]],0))-1)/(COUNTA(Table2[[#This Row],[1]:[11]])-COUNTBLANK(Table2[[#This Row],[1]:[11]])-1)))</f>
        <v/>
      </c>
      <c r="AC40" s="30" t="str" cm="1">
        <f t="array" ref="AC40">IF(Table2[[#This Row],[5]]="","",Table2[[#This Row],[Weight]:[Weight]]-(Table2[[#This Row],[Weight]:[Weight]]*((_xlfn.XMATCH(Table2[[#This Row],[5]],Table2[[#This Row],[1]:[11]],0))-1)/(COUNTA(Table2[[#This Row],[1]:[11]])-COUNTBLANK(Table2[[#This Row],[1]:[11]])-1)))</f>
        <v/>
      </c>
      <c r="AD40" s="30" t="str" cm="1">
        <f t="array" ref="AD40">IF(Table2[[#This Row],[6]]="","",Table2[[#This Row],[Weight]:[Weight]]-(Table2[[#This Row],[Weight]:[Weight]]*((_xlfn.XMATCH(Table2[[#This Row],[6]],Table2[[#This Row],[1]:[11]],0))-1)/(COUNTA(Table2[[#This Row],[1]:[11]])-COUNTBLANK(Table2[[#This Row],[1]:[11]])-1)))</f>
        <v/>
      </c>
      <c r="AE40" s="30" t="str" cm="1">
        <f t="array" ref="AE40">IF(Table2[[#This Row],[7]]="","",Table2[[#This Row],[Weight]:[Weight]]-(Table2[[#This Row],[Weight]:[Weight]]*((_xlfn.XMATCH(Table2[[#This Row],[7]],Table2[[#This Row],[1]:[11]],0))-1)/(COUNTA(Table2[[#This Row],[1]:[11]])-COUNTBLANK(Table2[[#This Row],[1]:[11]])-1)))</f>
        <v/>
      </c>
      <c r="AF40" s="30" t="str" cm="1">
        <f t="array" ref="AF40">IF(Table2[[#This Row],[8]]="","",Table2[[#This Row],[Weight]:[Weight]]-(Table2[[#This Row],[Weight]:[Weight]]*((_xlfn.XMATCH(Table2[[#This Row],[8]],Table2[[#This Row],[1]:[11]],0))-1)/(COUNTA(Table2[[#This Row],[1]:[11]])-COUNTBLANK(Table2[[#This Row],[1]:[11]])-1)))</f>
        <v/>
      </c>
      <c r="AG40" s="41" t="str" cm="1">
        <f t="array" ref="AG40">IF(Table2[[#This Row],[9]]="","",Table2[[#This Row],[Weight]:[Weight]]-(Table2[[#This Row],[Weight]:[Weight]]*((_xlfn.XMATCH(Table2[[#This Row],[9]],Table2[[#This Row],[1]:[11]],0))-1)/(COUNTA(Table2[[#This Row],[1]:[11]])-COUNTBLANK(Table2[[#This Row],[1]:[11]])-1)))</f>
        <v/>
      </c>
      <c r="AH40" s="41" t="str" cm="1">
        <f t="array" ref="AH40">IF(Table2[[#This Row],[10]]="","",Table2[[#This Row],[Weight]:[Weight]]-(Table2[[#This Row],[Weight]:[Weight]]*((_xlfn.XMATCH(Table2[[#This Row],[10]],Table2[[#This Row],[1]:[11]],0))-1)/(COUNTA(Table2[[#This Row],[1]:[11]])-COUNTBLANK(Table2[[#This Row],[1]:[11]])-1)))</f>
        <v/>
      </c>
      <c r="AI40" s="41" t="str" cm="1">
        <f t="array" ref="AI40">IF(Table2[[#This Row],[11]]="","",Table2[[#This Row],[Weight]:[Weight]]-(Table2[[#This Row],[Weight]:[Weight]]*((_xlfn.XMATCH(Table2[[#This Row],[11]],Table2[[#This Row],[1]:[11]],0))-1)/(COUNTA(Table2[[#This Row],[1]:[11]])-COUNTBLANK(Table2[[#This Row],[1]:[11]])-1)))</f>
        <v/>
      </c>
    </row>
    <row r="41" spans="1:35" ht="72" x14ac:dyDescent="0.2">
      <c r="A41" s="117" t="s">
        <v>171</v>
      </c>
      <c r="B41" s="21" t="s">
        <v>172</v>
      </c>
      <c r="C41" s="204" t="s">
        <v>173</v>
      </c>
      <c r="D41" s="21"/>
      <c r="E41" s="21" t="s">
        <v>55</v>
      </c>
      <c r="F41" s="22" t="s">
        <v>60</v>
      </c>
      <c r="G41" s="23" cm="1">
        <f t="array" ref="G41">_xlfn.IFS(F41="","",F41="No interest",0,F41="Nice to have",1,F41="Useful",2,F41="Important",3,F41="Very important",4,F41="Critical",5,F41="Show stopper",6)</f>
        <v>6</v>
      </c>
      <c r="H41" s="24">
        <f t="shared" si="1"/>
        <v>9.7165991902834013E-3</v>
      </c>
      <c r="I41" s="25" t="s">
        <v>118</v>
      </c>
      <c r="J41" s="37" t="str" cm="1">
        <f t="array" ref="J41">_xlfn.TEXTJOIN(" "&amp;CHAR(10),,TEXT(SUBSTITUTE(Table2[[#This Row],[12]:[22]],".",","),"0,00%"))</f>
        <v>0,0097165991902834 
0,0048582995951417 
0,00%</v>
      </c>
      <c r="K41" s="26" t="s">
        <v>119</v>
      </c>
      <c r="L41" s="27">
        <f>H41-(H41*((MATCH(Table2[[#This Row],[Evaluators Response (SELECT)]],Table2[[#This Row],[1]:[11]],0)-1)/(COUNTA(Table2[[#This Row],[1]:[11]])-COUNTBLANK(Table2[[#This Row],[1]:[11]])-1)))</f>
        <v>9.7165991902834013E-3</v>
      </c>
      <c r="M41" s="28"/>
      <c r="N41" s="41" t="str" cm="1">
        <f t="array" ref="N41">IFERROR(INDEX(_xlfn.UNIQUE(TRIM(_xlfn.TEXTSPLIT(Table2[[#This Row],[Selection Options]:[Selection Options]],","))),,N$21),"")</f>
        <v>1. Extensive functionality available</v>
      </c>
      <c r="O41" s="29" t="str" cm="1">
        <f t="array" ref="O41">IFERROR(INDEX(_xlfn.UNIQUE(TRIM(_xlfn.TEXTSPLIT(Table2[[#This Row],[Selection Options]:[Selection Options]],","))),,O$21),"")</f>
        <v xml:space="preserve">
2. Limited functionality available</v>
      </c>
      <c r="P41" s="29" t="str" cm="1">
        <f t="array" ref="P41">IFERROR(INDEX(_xlfn.UNIQUE(TRIM(_xlfn.TEXTSPLIT(Table2[[#This Row],[Selection Options]:[Selection Options]],","))),,P$21),"")</f>
        <v xml:space="preserve">
3. Functionality not available</v>
      </c>
      <c r="Q41" s="29" t="str" cm="1">
        <f t="array" ref="Q41">IFERROR(INDEX(_xlfn.UNIQUE(TRIM(_xlfn.TEXTSPLIT(Table2[[#This Row],[Selection Options]:[Selection Options]],","))),,Q$21),"")</f>
        <v/>
      </c>
      <c r="R41" s="29" t="str" cm="1">
        <f t="array" ref="R41">IFERROR(INDEX(_xlfn.UNIQUE(TRIM(_xlfn.TEXTSPLIT(Table2[[#This Row],[Selection Options]:[Selection Options]],","))),,R$21),"")</f>
        <v/>
      </c>
      <c r="S41" s="29" t="str" cm="1">
        <f t="array" ref="S41">IFERROR(INDEX(_xlfn.UNIQUE(TRIM(_xlfn.TEXTSPLIT(Table2[[#This Row],[Selection Options]:[Selection Options]],","))),,S$21),"")</f>
        <v/>
      </c>
      <c r="T41" s="29" t="str" cm="1">
        <f t="array" ref="T41">IFERROR(INDEX(_xlfn.UNIQUE(TRIM(_xlfn.TEXTSPLIT(Table2[[#This Row],[Selection Options]:[Selection Options]],","))),,T$21),"")</f>
        <v/>
      </c>
      <c r="U41" s="29" t="str" cm="1">
        <f t="array" ref="U41">IFERROR(INDEX(_xlfn.UNIQUE(TRIM(_xlfn.TEXTSPLIT(Table2[[#This Row],[Selection Options]:[Selection Options]],","))),,U$21),"")</f>
        <v/>
      </c>
      <c r="V41" s="29" t="str" cm="1">
        <f t="array" ref="V41">IFERROR(INDEX(_xlfn.UNIQUE(TRIM(_xlfn.TEXTSPLIT(Table2[[#This Row],[Selection Options]:[Selection Options]],","))),,V$21),"")</f>
        <v/>
      </c>
      <c r="W41" s="29" t="str" cm="1">
        <f t="array" ref="W41">IFERROR(INDEX(_xlfn.UNIQUE(TRIM(_xlfn.TEXTSPLIT(Table2[[#This Row],[Selection Options]:[Selection Options]],","))),,W$21),"")</f>
        <v/>
      </c>
      <c r="X41" s="29" t="str" cm="1">
        <f t="array" ref="X41">IFERROR(INDEX(_xlfn.UNIQUE(TRIM(_xlfn.TEXTSPLIT(Table2[[#This Row],[Selection Options]:[Selection Options]],","))),,X$21),"")</f>
        <v/>
      </c>
      <c r="Y41" s="30" cm="1">
        <f t="array" ref="Y41">IF(Table2[[#This Row],[1]]="","",Table2[[#This Row],[Weight]:[Weight]]-(Table2[[#This Row],[Weight]:[Weight]]*((_xlfn.XMATCH(Table2[[#This Row],[1]],Table2[[#This Row],[1]:[11]],0))-1)/(COUNTA(Table2[[#This Row],[1]:[11]])-COUNTBLANK(Table2[[#This Row],[1]:[11]])-1)))</f>
        <v>9.7165991902834013E-3</v>
      </c>
      <c r="Z41" s="30" cm="1">
        <f t="array" ref="Z41">IF(Table2[[#This Row],[2]]="","",Table2[[#This Row],[Weight]:[Weight]]-(Table2[[#This Row],[Weight]:[Weight]]*((_xlfn.XMATCH(Table2[[#This Row],[2]],Table2[[#This Row],[1]:[11]],0))-1)/(COUNTA(Table2[[#This Row],[1]:[11]])-COUNTBLANK(Table2[[#This Row],[1]:[11]])-1)))</f>
        <v>4.8582995951417006E-3</v>
      </c>
      <c r="AA41" s="30" cm="1">
        <f t="array" ref="AA41">IF(Table2[[#This Row],[3]]="","",Table2[[#This Row],[Weight]:[Weight]]-(Table2[[#This Row],[Weight]:[Weight]]*((_xlfn.XMATCH(Table2[[#This Row],[3]],Table2[[#This Row],[1]:[11]],0))-1)/(COUNTA(Table2[[#This Row],[1]:[11]])-COUNTBLANK(Table2[[#This Row],[1]:[11]])-1)))</f>
        <v>0</v>
      </c>
      <c r="AB41" s="30" t="str" cm="1">
        <f t="array" ref="AB41">IF(Table2[[#This Row],[4]]="","",Table2[[#This Row],[Weight]:[Weight]]-(Table2[[#This Row],[Weight]:[Weight]]*((_xlfn.XMATCH(Table2[[#This Row],[4]],Table2[[#This Row],[1]:[11]],0))-1)/(COUNTA(Table2[[#This Row],[1]:[11]])-COUNTBLANK(Table2[[#This Row],[1]:[11]])-1)))</f>
        <v/>
      </c>
      <c r="AC41" s="30" t="str" cm="1">
        <f t="array" ref="AC41">IF(Table2[[#This Row],[5]]="","",Table2[[#This Row],[Weight]:[Weight]]-(Table2[[#This Row],[Weight]:[Weight]]*((_xlfn.XMATCH(Table2[[#This Row],[5]],Table2[[#This Row],[1]:[11]],0))-1)/(COUNTA(Table2[[#This Row],[1]:[11]])-COUNTBLANK(Table2[[#This Row],[1]:[11]])-1)))</f>
        <v/>
      </c>
      <c r="AD41" s="30" t="str" cm="1">
        <f t="array" ref="AD41">IF(Table2[[#This Row],[6]]="","",Table2[[#This Row],[Weight]:[Weight]]-(Table2[[#This Row],[Weight]:[Weight]]*((_xlfn.XMATCH(Table2[[#This Row],[6]],Table2[[#This Row],[1]:[11]],0))-1)/(COUNTA(Table2[[#This Row],[1]:[11]])-COUNTBLANK(Table2[[#This Row],[1]:[11]])-1)))</f>
        <v/>
      </c>
      <c r="AE41" s="30" t="str" cm="1">
        <f t="array" ref="AE41">IF(Table2[[#This Row],[7]]="","",Table2[[#This Row],[Weight]:[Weight]]-(Table2[[#This Row],[Weight]:[Weight]]*((_xlfn.XMATCH(Table2[[#This Row],[7]],Table2[[#This Row],[1]:[11]],0))-1)/(COUNTA(Table2[[#This Row],[1]:[11]])-COUNTBLANK(Table2[[#This Row],[1]:[11]])-1)))</f>
        <v/>
      </c>
      <c r="AF41" s="30" t="str" cm="1">
        <f t="array" ref="AF41">IF(Table2[[#This Row],[8]]="","",Table2[[#This Row],[Weight]:[Weight]]-(Table2[[#This Row],[Weight]:[Weight]]*((_xlfn.XMATCH(Table2[[#This Row],[8]],Table2[[#This Row],[1]:[11]],0))-1)/(COUNTA(Table2[[#This Row],[1]:[11]])-COUNTBLANK(Table2[[#This Row],[1]:[11]])-1)))</f>
        <v/>
      </c>
      <c r="AG41" s="41" t="str" cm="1">
        <f t="array" ref="AG41">IF(Table2[[#This Row],[9]]="","",Table2[[#This Row],[Weight]:[Weight]]-(Table2[[#This Row],[Weight]:[Weight]]*((_xlfn.XMATCH(Table2[[#This Row],[9]],Table2[[#This Row],[1]:[11]],0))-1)/(COUNTA(Table2[[#This Row],[1]:[11]])-COUNTBLANK(Table2[[#This Row],[1]:[11]])-1)))</f>
        <v/>
      </c>
      <c r="AH41" s="41" t="str" cm="1">
        <f t="array" ref="AH41">IF(Table2[[#This Row],[10]]="","",Table2[[#This Row],[Weight]:[Weight]]-(Table2[[#This Row],[Weight]:[Weight]]*((_xlfn.XMATCH(Table2[[#This Row],[10]],Table2[[#This Row],[1]:[11]],0))-1)/(COUNTA(Table2[[#This Row],[1]:[11]])-COUNTBLANK(Table2[[#This Row],[1]:[11]])-1)))</f>
        <v/>
      </c>
      <c r="AI41" s="41" t="str" cm="1">
        <f t="array" ref="AI41">IF(Table2[[#This Row],[11]]="","",Table2[[#This Row],[Weight]:[Weight]]-(Table2[[#This Row],[Weight]:[Weight]]*((_xlfn.XMATCH(Table2[[#This Row],[11]],Table2[[#This Row],[1]:[11]],0))-1)/(COUNTA(Table2[[#This Row],[1]:[11]])-COUNTBLANK(Table2[[#This Row],[1]:[11]])-1)))</f>
        <v/>
      </c>
    </row>
    <row r="42" spans="1:35" ht="72" x14ac:dyDescent="0.2">
      <c r="A42" s="117" t="s">
        <v>174</v>
      </c>
      <c r="B42" s="21" t="s">
        <v>175</v>
      </c>
      <c r="C42" s="204" t="s">
        <v>176</v>
      </c>
      <c r="D42" s="21"/>
      <c r="E42" s="21" t="s">
        <v>55</v>
      </c>
      <c r="F42" s="22" t="s">
        <v>60</v>
      </c>
      <c r="G42" s="23" cm="1">
        <f t="array" ref="G42">_xlfn.IFS(F42="","",F42="No interest",0,F42="Nice to have",1,F42="Useful",2,F42="Important",3,F42="Very important",4,F42="Critical",5,F42="Show stopper",6)</f>
        <v>6</v>
      </c>
      <c r="H42" s="24">
        <f t="shared" si="1"/>
        <v>9.7165991902834013E-3</v>
      </c>
      <c r="I42" s="25" t="s">
        <v>118</v>
      </c>
      <c r="J42" s="37" t="str" cm="1">
        <f t="array" ref="J42">_xlfn.TEXTJOIN(" "&amp;CHAR(10),,TEXT(SUBSTITUTE(Table2[[#This Row],[12]:[22]],".",","),"0,00%"))</f>
        <v>0,0097165991902834 
0,0048582995951417 
0,00%</v>
      </c>
      <c r="K42" s="26" t="s">
        <v>119</v>
      </c>
      <c r="L42" s="27">
        <f>H42-(H42*((MATCH(Table2[[#This Row],[Evaluators Response (SELECT)]],Table2[[#This Row],[1]:[11]],0)-1)/(COUNTA(Table2[[#This Row],[1]:[11]])-COUNTBLANK(Table2[[#This Row],[1]:[11]])-1)))</f>
        <v>9.7165991902834013E-3</v>
      </c>
      <c r="M42" s="28"/>
      <c r="N42" s="41" t="str" cm="1">
        <f t="array" ref="N42">IFERROR(INDEX(_xlfn.UNIQUE(TRIM(_xlfn.TEXTSPLIT(Table2[[#This Row],[Selection Options]:[Selection Options]],","))),,N$21),"")</f>
        <v>1. Extensive functionality available</v>
      </c>
      <c r="O42" s="29" t="str" cm="1">
        <f t="array" ref="O42">IFERROR(INDEX(_xlfn.UNIQUE(TRIM(_xlfn.TEXTSPLIT(Table2[[#This Row],[Selection Options]:[Selection Options]],","))),,O$21),"")</f>
        <v xml:space="preserve">
2. Limited functionality available</v>
      </c>
      <c r="P42" s="29" t="str" cm="1">
        <f t="array" ref="P42">IFERROR(INDEX(_xlfn.UNIQUE(TRIM(_xlfn.TEXTSPLIT(Table2[[#This Row],[Selection Options]:[Selection Options]],","))),,P$21),"")</f>
        <v xml:space="preserve">
3. Functionality not available</v>
      </c>
      <c r="Q42" s="29" t="str" cm="1">
        <f t="array" ref="Q42">IFERROR(INDEX(_xlfn.UNIQUE(TRIM(_xlfn.TEXTSPLIT(Table2[[#This Row],[Selection Options]:[Selection Options]],","))),,Q$21),"")</f>
        <v/>
      </c>
      <c r="R42" s="29" t="str" cm="1">
        <f t="array" ref="R42">IFERROR(INDEX(_xlfn.UNIQUE(TRIM(_xlfn.TEXTSPLIT(Table2[[#This Row],[Selection Options]:[Selection Options]],","))),,R$21),"")</f>
        <v/>
      </c>
      <c r="S42" s="29" t="str" cm="1">
        <f t="array" ref="S42">IFERROR(INDEX(_xlfn.UNIQUE(TRIM(_xlfn.TEXTSPLIT(Table2[[#This Row],[Selection Options]:[Selection Options]],","))),,S$21),"")</f>
        <v/>
      </c>
      <c r="T42" s="29" t="str" cm="1">
        <f t="array" ref="T42">IFERROR(INDEX(_xlfn.UNIQUE(TRIM(_xlfn.TEXTSPLIT(Table2[[#This Row],[Selection Options]:[Selection Options]],","))),,T$21),"")</f>
        <v/>
      </c>
      <c r="U42" s="29" t="str" cm="1">
        <f t="array" ref="U42">IFERROR(INDEX(_xlfn.UNIQUE(TRIM(_xlfn.TEXTSPLIT(Table2[[#This Row],[Selection Options]:[Selection Options]],","))),,U$21),"")</f>
        <v/>
      </c>
      <c r="V42" s="29" t="str" cm="1">
        <f t="array" ref="V42">IFERROR(INDEX(_xlfn.UNIQUE(TRIM(_xlfn.TEXTSPLIT(Table2[[#This Row],[Selection Options]:[Selection Options]],","))),,V$21),"")</f>
        <v/>
      </c>
      <c r="W42" s="29" t="str" cm="1">
        <f t="array" ref="W42">IFERROR(INDEX(_xlfn.UNIQUE(TRIM(_xlfn.TEXTSPLIT(Table2[[#This Row],[Selection Options]:[Selection Options]],","))),,W$21),"")</f>
        <v/>
      </c>
      <c r="X42" s="29" t="str" cm="1">
        <f t="array" ref="X42">IFERROR(INDEX(_xlfn.UNIQUE(TRIM(_xlfn.TEXTSPLIT(Table2[[#This Row],[Selection Options]:[Selection Options]],","))),,X$21),"")</f>
        <v/>
      </c>
      <c r="Y42" s="30" cm="1">
        <f t="array" ref="Y42">IF(Table2[[#This Row],[1]]="","",Table2[[#This Row],[Weight]:[Weight]]-(Table2[[#This Row],[Weight]:[Weight]]*((_xlfn.XMATCH(Table2[[#This Row],[1]],Table2[[#This Row],[1]:[11]],0))-1)/(COUNTA(Table2[[#This Row],[1]:[11]])-COUNTBLANK(Table2[[#This Row],[1]:[11]])-1)))</f>
        <v>9.7165991902834013E-3</v>
      </c>
      <c r="Z42" s="30" cm="1">
        <f t="array" ref="Z42">IF(Table2[[#This Row],[2]]="","",Table2[[#This Row],[Weight]:[Weight]]-(Table2[[#This Row],[Weight]:[Weight]]*((_xlfn.XMATCH(Table2[[#This Row],[2]],Table2[[#This Row],[1]:[11]],0))-1)/(COUNTA(Table2[[#This Row],[1]:[11]])-COUNTBLANK(Table2[[#This Row],[1]:[11]])-1)))</f>
        <v>4.8582995951417006E-3</v>
      </c>
      <c r="AA42" s="30" cm="1">
        <f t="array" ref="AA42">IF(Table2[[#This Row],[3]]="","",Table2[[#This Row],[Weight]:[Weight]]-(Table2[[#This Row],[Weight]:[Weight]]*((_xlfn.XMATCH(Table2[[#This Row],[3]],Table2[[#This Row],[1]:[11]],0))-1)/(COUNTA(Table2[[#This Row],[1]:[11]])-COUNTBLANK(Table2[[#This Row],[1]:[11]])-1)))</f>
        <v>0</v>
      </c>
      <c r="AB42" s="30" t="str" cm="1">
        <f t="array" ref="AB42">IF(Table2[[#This Row],[4]]="","",Table2[[#This Row],[Weight]:[Weight]]-(Table2[[#This Row],[Weight]:[Weight]]*((_xlfn.XMATCH(Table2[[#This Row],[4]],Table2[[#This Row],[1]:[11]],0))-1)/(COUNTA(Table2[[#This Row],[1]:[11]])-COUNTBLANK(Table2[[#This Row],[1]:[11]])-1)))</f>
        <v/>
      </c>
      <c r="AC42" s="30" t="str" cm="1">
        <f t="array" ref="AC42">IF(Table2[[#This Row],[5]]="","",Table2[[#This Row],[Weight]:[Weight]]-(Table2[[#This Row],[Weight]:[Weight]]*((_xlfn.XMATCH(Table2[[#This Row],[5]],Table2[[#This Row],[1]:[11]],0))-1)/(COUNTA(Table2[[#This Row],[1]:[11]])-COUNTBLANK(Table2[[#This Row],[1]:[11]])-1)))</f>
        <v/>
      </c>
      <c r="AD42" s="30" t="str" cm="1">
        <f t="array" ref="AD42">IF(Table2[[#This Row],[6]]="","",Table2[[#This Row],[Weight]:[Weight]]-(Table2[[#This Row],[Weight]:[Weight]]*((_xlfn.XMATCH(Table2[[#This Row],[6]],Table2[[#This Row],[1]:[11]],0))-1)/(COUNTA(Table2[[#This Row],[1]:[11]])-COUNTBLANK(Table2[[#This Row],[1]:[11]])-1)))</f>
        <v/>
      </c>
      <c r="AE42" s="30" t="str" cm="1">
        <f t="array" ref="AE42">IF(Table2[[#This Row],[7]]="","",Table2[[#This Row],[Weight]:[Weight]]-(Table2[[#This Row],[Weight]:[Weight]]*((_xlfn.XMATCH(Table2[[#This Row],[7]],Table2[[#This Row],[1]:[11]],0))-1)/(COUNTA(Table2[[#This Row],[1]:[11]])-COUNTBLANK(Table2[[#This Row],[1]:[11]])-1)))</f>
        <v/>
      </c>
      <c r="AF42" s="30" t="str" cm="1">
        <f t="array" ref="AF42">IF(Table2[[#This Row],[8]]="","",Table2[[#This Row],[Weight]:[Weight]]-(Table2[[#This Row],[Weight]:[Weight]]*((_xlfn.XMATCH(Table2[[#This Row],[8]],Table2[[#This Row],[1]:[11]],0))-1)/(COUNTA(Table2[[#This Row],[1]:[11]])-COUNTBLANK(Table2[[#This Row],[1]:[11]])-1)))</f>
        <v/>
      </c>
      <c r="AG42" s="41" t="str" cm="1">
        <f t="array" ref="AG42">IF(Table2[[#This Row],[9]]="","",Table2[[#This Row],[Weight]:[Weight]]-(Table2[[#This Row],[Weight]:[Weight]]*((_xlfn.XMATCH(Table2[[#This Row],[9]],Table2[[#This Row],[1]:[11]],0))-1)/(COUNTA(Table2[[#This Row],[1]:[11]])-COUNTBLANK(Table2[[#This Row],[1]:[11]])-1)))</f>
        <v/>
      </c>
      <c r="AH42" s="41" t="str" cm="1">
        <f t="array" ref="AH42">IF(Table2[[#This Row],[10]]="","",Table2[[#This Row],[Weight]:[Weight]]-(Table2[[#This Row],[Weight]:[Weight]]*((_xlfn.XMATCH(Table2[[#This Row],[10]],Table2[[#This Row],[1]:[11]],0))-1)/(COUNTA(Table2[[#This Row],[1]:[11]])-COUNTBLANK(Table2[[#This Row],[1]:[11]])-1)))</f>
        <v/>
      </c>
      <c r="AI42" s="41" t="str" cm="1">
        <f t="array" ref="AI42">IF(Table2[[#This Row],[11]]="","",Table2[[#This Row],[Weight]:[Weight]]-(Table2[[#This Row],[Weight]:[Weight]]*((_xlfn.XMATCH(Table2[[#This Row],[11]],Table2[[#This Row],[1]:[11]],0))-1)/(COUNTA(Table2[[#This Row],[1]:[11]])-COUNTBLANK(Table2[[#This Row],[1]:[11]])-1)))</f>
        <v/>
      </c>
    </row>
    <row r="43" spans="1:35" ht="72" x14ac:dyDescent="0.2">
      <c r="A43" s="117" t="s">
        <v>177</v>
      </c>
      <c r="B43" s="21" t="s">
        <v>178</v>
      </c>
      <c r="C43" s="204" t="s">
        <v>179</v>
      </c>
      <c r="D43" s="21"/>
      <c r="E43" s="21" t="s">
        <v>55</v>
      </c>
      <c r="F43" s="22" t="s">
        <v>60</v>
      </c>
      <c r="G43" s="23" cm="1">
        <f t="array" ref="G43">_xlfn.IFS(F43="","",F43="No interest",0,F43="Nice to have",1,F43="Useful",2,F43="Important",3,F43="Very important",4,F43="Critical",5,F43="Show stopper",6)</f>
        <v>6</v>
      </c>
      <c r="H43" s="24">
        <f t="shared" si="1"/>
        <v>9.7165991902834013E-3</v>
      </c>
      <c r="I43" s="25" t="s">
        <v>118</v>
      </c>
      <c r="J43" s="37" t="str" cm="1">
        <f t="array" ref="J43">_xlfn.TEXTJOIN(" "&amp;CHAR(10),,TEXT(SUBSTITUTE(Table2[[#This Row],[12]:[22]],".",","),"0,00%"))</f>
        <v>0,0097165991902834 
0,0048582995951417 
0,00%</v>
      </c>
      <c r="K43" s="26" t="s">
        <v>119</v>
      </c>
      <c r="L43" s="27">
        <f>H43-(H43*((MATCH(Table2[[#This Row],[Evaluators Response (SELECT)]],Table2[[#This Row],[1]:[11]],0)-1)/(COUNTA(Table2[[#This Row],[1]:[11]])-COUNTBLANK(Table2[[#This Row],[1]:[11]])-1)))</f>
        <v>9.7165991902834013E-3</v>
      </c>
      <c r="M43" s="28"/>
      <c r="N43" s="41" t="str" cm="1">
        <f t="array" ref="N43">IFERROR(INDEX(_xlfn.UNIQUE(TRIM(_xlfn.TEXTSPLIT(Table2[[#This Row],[Selection Options]:[Selection Options]],","))),,N$21),"")</f>
        <v>1. Extensive functionality available</v>
      </c>
      <c r="O43" s="29" t="str" cm="1">
        <f t="array" ref="O43">IFERROR(INDEX(_xlfn.UNIQUE(TRIM(_xlfn.TEXTSPLIT(Table2[[#This Row],[Selection Options]:[Selection Options]],","))),,O$21),"")</f>
        <v xml:space="preserve">
2. Limited functionality available</v>
      </c>
      <c r="P43" s="29" t="str" cm="1">
        <f t="array" ref="P43">IFERROR(INDEX(_xlfn.UNIQUE(TRIM(_xlfn.TEXTSPLIT(Table2[[#This Row],[Selection Options]:[Selection Options]],","))),,P$21),"")</f>
        <v xml:space="preserve">
3. Functionality not available</v>
      </c>
      <c r="Q43" s="29" t="str" cm="1">
        <f t="array" ref="Q43">IFERROR(INDEX(_xlfn.UNIQUE(TRIM(_xlfn.TEXTSPLIT(Table2[[#This Row],[Selection Options]:[Selection Options]],","))),,Q$21),"")</f>
        <v/>
      </c>
      <c r="R43" s="29" t="str" cm="1">
        <f t="array" ref="R43">IFERROR(INDEX(_xlfn.UNIQUE(TRIM(_xlfn.TEXTSPLIT(Table2[[#This Row],[Selection Options]:[Selection Options]],","))),,R$21),"")</f>
        <v/>
      </c>
      <c r="S43" s="29" t="str" cm="1">
        <f t="array" ref="S43">IFERROR(INDEX(_xlfn.UNIQUE(TRIM(_xlfn.TEXTSPLIT(Table2[[#This Row],[Selection Options]:[Selection Options]],","))),,S$21),"")</f>
        <v/>
      </c>
      <c r="T43" s="29" t="str" cm="1">
        <f t="array" ref="T43">IFERROR(INDEX(_xlfn.UNIQUE(TRIM(_xlfn.TEXTSPLIT(Table2[[#This Row],[Selection Options]:[Selection Options]],","))),,T$21),"")</f>
        <v/>
      </c>
      <c r="U43" s="29" t="str" cm="1">
        <f t="array" ref="U43">IFERROR(INDEX(_xlfn.UNIQUE(TRIM(_xlfn.TEXTSPLIT(Table2[[#This Row],[Selection Options]:[Selection Options]],","))),,U$21),"")</f>
        <v/>
      </c>
      <c r="V43" s="29" t="str" cm="1">
        <f t="array" ref="V43">IFERROR(INDEX(_xlfn.UNIQUE(TRIM(_xlfn.TEXTSPLIT(Table2[[#This Row],[Selection Options]:[Selection Options]],","))),,V$21),"")</f>
        <v/>
      </c>
      <c r="W43" s="29" t="str" cm="1">
        <f t="array" ref="W43">IFERROR(INDEX(_xlfn.UNIQUE(TRIM(_xlfn.TEXTSPLIT(Table2[[#This Row],[Selection Options]:[Selection Options]],","))),,W$21),"")</f>
        <v/>
      </c>
      <c r="X43" s="29" t="str" cm="1">
        <f t="array" ref="X43">IFERROR(INDEX(_xlfn.UNIQUE(TRIM(_xlfn.TEXTSPLIT(Table2[[#This Row],[Selection Options]:[Selection Options]],","))),,X$21),"")</f>
        <v/>
      </c>
      <c r="Y43" s="30" cm="1">
        <f t="array" ref="Y43">IF(Table2[[#This Row],[1]]="","",Table2[[#This Row],[Weight]:[Weight]]-(Table2[[#This Row],[Weight]:[Weight]]*((_xlfn.XMATCH(Table2[[#This Row],[1]],Table2[[#This Row],[1]:[11]],0))-1)/(COUNTA(Table2[[#This Row],[1]:[11]])-COUNTBLANK(Table2[[#This Row],[1]:[11]])-1)))</f>
        <v>9.7165991902834013E-3</v>
      </c>
      <c r="Z43" s="30" cm="1">
        <f t="array" ref="Z43">IF(Table2[[#This Row],[2]]="","",Table2[[#This Row],[Weight]:[Weight]]-(Table2[[#This Row],[Weight]:[Weight]]*((_xlfn.XMATCH(Table2[[#This Row],[2]],Table2[[#This Row],[1]:[11]],0))-1)/(COUNTA(Table2[[#This Row],[1]:[11]])-COUNTBLANK(Table2[[#This Row],[1]:[11]])-1)))</f>
        <v>4.8582995951417006E-3</v>
      </c>
      <c r="AA43" s="30" cm="1">
        <f t="array" ref="AA43">IF(Table2[[#This Row],[3]]="","",Table2[[#This Row],[Weight]:[Weight]]-(Table2[[#This Row],[Weight]:[Weight]]*((_xlfn.XMATCH(Table2[[#This Row],[3]],Table2[[#This Row],[1]:[11]],0))-1)/(COUNTA(Table2[[#This Row],[1]:[11]])-COUNTBLANK(Table2[[#This Row],[1]:[11]])-1)))</f>
        <v>0</v>
      </c>
      <c r="AB43" s="30" t="str" cm="1">
        <f t="array" ref="AB43">IF(Table2[[#This Row],[4]]="","",Table2[[#This Row],[Weight]:[Weight]]-(Table2[[#This Row],[Weight]:[Weight]]*((_xlfn.XMATCH(Table2[[#This Row],[4]],Table2[[#This Row],[1]:[11]],0))-1)/(COUNTA(Table2[[#This Row],[1]:[11]])-COUNTBLANK(Table2[[#This Row],[1]:[11]])-1)))</f>
        <v/>
      </c>
      <c r="AC43" s="30" t="str" cm="1">
        <f t="array" ref="AC43">IF(Table2[[#This Row],[5]]="","",Table2[[#This Row],[Weight]:[Weight]]-(Table2[[#This Row],[Weight]:[Weight]]*((_xlfn.XMATCH(Table2[[#This Row],[5]],Table2[[#This Row],[1]:[11]],0))-1)/(COUNTA(Table2[[#This Row],[1]:[11]])-COUNTBLANK(Table2[[#This Row],[1]:[11]])-1)))</f>
        <v/>
      </c>
      <c r="AD43" s="30" t="str" cm="1">
        <f t="array" ref="AD43">IF(Table2[[#This Row],[6]]="","",Table2[[#This Row],[Weight]:[Weight]]-(Table2[[#This Row],[Weight]:[Weight]]*((_xlfn.XMATCH(Table2[[#This Row],[6]],Table2[[#This Row],[1]:[11]],0))-1)/(COUNTA(Table2[[#This Row],[1]:[11]])-COUNTBLANK(Table2[[#This Row],[1]:[11]])-1)))</f>
        <v/>
      </c>
      <c r="AE43" s="30" t="str" cm="1">
        <f t="array" ref="AE43">IF(Table2[[#This Row],[7]]="","",Table2[[#This Row],[Weight]:[Weight]]-(Table2[[#This Row],[Weight]:[Weight]]*((_xlfn.XMATCH(Table2[[#This Row],[7]],Table2[[#This Row],[1]:[11]],0))-1)/(COUNTA(Table2[[#This Row],[1]:[11]])-COUNTBLANK(Table2[[#This Row],[1]:[11]])-1)))</f>
        <v/>
      </c>
      <c r="AF43" s="30" t="str" cm="1">
        <f t="array" ref="AF43">IF(Table2[[#This Row],[8]]="","",Table2[[#This Row],[Weight]:[Weight]]-(Table2[[#This Row],[Weight]:[Weight]]*((_xlfn.XMATCH(Table2[[#This Row],[8]],Table2[[#This Row],[1]:[11]],0))-1)/(COUNTA(Table2[[#This Row],[1]:[11]])-COUNTBLANK(Table2[[#This Row],[1]:[11]])-1)))</f>
        <v/>
      </c>
      <c r="AG43" s="41" t="str" cm="1">
        <f t="array" ref="AG43">IF(Table2[[#This Row],[9]]="","",Table2[[#This Row],[Weight]:[Weight]]-(Table2[[#This Row],[Weight]:[Weight]]*((_xlfn.XMATCH(Table2[[#This Row],[9]],Table2[[#This Row],[1]:[11]],0))-1)/(COUNTA(Table2[[#This Row],[1]:[11]])-COUNTBLANK(Table2[[#This Row],[1]:[11]])-1)))</f>
        <v/>
      </c>
      <c r="AH43" s="41" t="str" cm="1">
        <f t="array" ref="AH43">IF(Table2[[#This Row],[10]]="","",Table2[[#This Row],[Weight]:[Weight]]-(Table2[[#This Row],[Weight]:[Weight]]*((_xlfn.XMATCH(Table2[[#This Row],[10]],Table2[[#This Row],[1]:[11]],0))-1)/(COUNTA(Table2[[#This Row],[1]:[11]])-COUNTBLANK(Table2[[#This Row],[1]:[11]])-1)))</f>
        <v/>
      </c>
      <c r="AI43" s="41" t="str" cm="1">
        <f t="array" ref="AI43">IF(Table2[[#This Row],[11]]="","",Table2[[#This Row],[Weight]:[Weight]]-(Table2[[#This Row],[Weight]:[Weight]]*((_xlfn.XMATCH(Table2[[#This Row],[11]],Table2[[#This Row],[1]:[11]],0))-1)/(COUNTA(Table2[[#This Row],[1]:[11]])-COUNTBLANK(Table2[[#This Row],[1]:[11]])-1)))</f>
        <v/>
      </c>
    </row>
    <row r="44" spans="1:35" ht="72" x14ac:dyDescent="0.2">
      <c r="A44" s="117" t="s">
        <v>180</v>
      </c>
      <c r="B44" s="183" t="s">
        <v>181</v>
      </c>
      <c r="C44" s="204" t="s">
        <v>182</v>
      </c>
      <c r="D44" s="21"/>
      <c r="E44" s="21" t="s">
        <v>55</v>
      </c>
      <c r="F44" s="22" t="s">
        <v>60</v>
      </c>
      <c r="G44" s="23" cm="1">
        <f t="array" ref="G44">_xlfn.IFS(F44="","",F44="No interest",0,F44="Nice to have",1,F44="Useful",2,F44="Important",3,F44="Very important",4,F44="Critical",5,F44="Show stopper",6)</f>
        <v>6</v>
      </c>
      <c r="H44" s="24">
        <f t="shared" si="1"/>
        <v>9.7165991902834013E-3</v>
      </c>
      <c r="I44" s="25" t="s">
        <v>118</v>
      </c>
      <c r="J44" s="37" t="str" cm="1">
        <f t="array" ref="J44">_xlfn.TEXTJOIN(" "&amp;CHAR(10),,TEXT(SUBSTITUTE(Table2[[#This Row],[12]:[22]],".",","),"0,00%"))</f>
        <v>0,0097165991902834 
0,0048582995951417 
0,00%</v>
      </c>
      <c r="K44" s="26" t="s">
        <v>119</v>
      </c>
      <c r="L44" s="27">
        <f>H44-(H44*((MATCH(Table2[[#This Row],[Evaluators Response (SELECT)]],Table2[[#This Row],[1]:[11]],0)-1)/(COUNTA(Table2[[#This Row],[1]:[11]])-COUNTBLANK(Table2[[#This Row],[1]:[11]])-1)))</f>
        <v>9.7165991902834013E-3</v>
      </c>
      <c r="M44" s="28"/>
      <c r="N44" s="41" t="str" cm="1">
        <f t="array" ref="N44">IFERROR(INDEX(_xlfn.UNIQUE(TRIM(_xlfn.TEXTSPLIT(Table2[[#This Row],[Selection Options]:[Selection Options]],","))),,N$21),"")</f>
        <v>1. Extensive functionality available</v>
      </c>
      <c r="O44" s="29" t="str" cm="1">
        <f t="array" ref="O44">IFERROR(INDEX(_xlfn.UNIQUE(TRIM(_xlfn.TEXTSPLIT(Table2[[#This Row],[Selection Options]:[Selection Options]],","))),,O$21),"")</f>
        <v xml:space="preserve">
2. Limited functionality available</v>
      </c>
      <c r="P44" s="29" t="str" cm="1">
        <f t="array" ref="P44">IFERROR(INDEX(_xlfn.UNIQUE(TRIM(_xlfn.TEXTSPLIT(Table2[[#This Row],[Selection Options]:[Selection Options]],","))),,P$21),"")</f>
        <v xml:space="preserve">
3. Functionality not available</v>
      </c>
      <c r="Q44" s="29" t="str" cm="1">
        <f t="array" ref="Q44">IFERROR(INDEX(_xlfn.UNIQUE(TRIM(_xlfn.TEXTSPLIT(Table2[[#This Row],[Selection Options]:[Selection Options]],","))),,Q$21),"")</f>
        <v/>
      </c>
      <c r="R44" s="29" t="str" cm="1">
        <f t="array" ref="R44">IFERROR(INDEX(_xlfn.UNIQUE(TRIM(_xlfn.TEXTSPLIT(Table2[[#This Row],[Selection Options]:[Selection Options]],","))),,R$21),"")</f>
        <v/>
      </c>
      <c r="S44" s="29" t="str" cm="1">
        <f t="array" ref="S44">IFERROR(INDEX(_xlfn.UNIQUE(TRIM(_xlfn.TEXTSPLIT(Table2[[#This Row],[Selection Options]:[Selection Options]],","))),,S$21),"")</f>
        <v/>
      </c>
      <c r="T44" s="29" t="str" cm="1">
        <f t="array" ref="T44">IFERROR(INDEX(_xlfn.UNIQUE(TRIM(_xlfn.TEXTSPLIT(Table2[[#This Row],[Selection Options]:[Selection Options]],","))),,T$21),"")</f>
        <v/>
      </c>
      <c r="U44" s="29" t="str" cm="1">
        <f t="array" ref="U44">IFERROR(INDEX(_xlfn.UNIQUE(TRIM(_xlfn.TEXTSPLIT(Table2[[#This Row],[Selection Options]:[Selection Options]],","))),,U$21),"")</f>
        <v/>
      </c>
      <c r="V44" s="29" t="str" cm="1">
        <f t="array" ref="V44">IFERROR(INDEX(_xlfn.UNIQUE(TRIM(_xlfn.TEXTSPLIT(Table2[[#This Row],[Selection Options]:[Selection Options]],","))),,V$21),"")</f>
        <v/>
      </c>
      <c r="W44" s="29" t="str" cm="1">
        <f t="array" ref="W44">IFERROR(INDEX(_xlfn.UNIQUE(TRIM(_xlfn.TEXTSPLIT(Table2[[#This Row],[Selection Options]:[Selection Options]],","))),,W$21),"")</f>
        <v/>
      </c>
      <c r="X44" s="29" t="str" cm="1">
        <f t="array" ref="X44">IFERROR(INDEX(_xlfn.UNIQUE(TRIM(_xlfn.TEXTSPLIT(Table2[[#This Row],[Selection Options]:[Selection Options]],","))),,X$21),"")</f>
        <v/>
      </c>
      <c r="Y44" s="30" cm="1">
        <f t="array" ref="Y44">IF(Table2[[#This Row],[1]]="","",Table2[[#This Row],[Weight]:[Weight]]-(Table2[[#This Row],[Weight]:[Weight]]*((_xlfn.XMATCH(Table2[[#This Row],[1]],Table2[[#This Row],[1]:[11]],0))-1)/(COUNTA(Table2[[#This Row],[1]:[11]])-COUNTBLANK(Table2[[#This Row],[1]:[11]])-1)))</f>
        <v>9.7165991902834013E-3</v>
      </c>
      <c r="Z44" s="30" cm="1">
        <f t="array" ref="Z44">IF(Table2[[#This Row],[2]]="","",Table2[[#This Row],[Weight]:[Weight]]-(Table2[[#This Row],[Weight]:[Weight]]*((_xlfn.XMATCH(Table2[[#This Row],[2]],Table2[[#This Row],[1]:[11]],0))-1)/(COUNTA(Table2[[#This Row],[1]:[11]])-COUNTBLANK(Table2[[#This Row],[1]:[11]])-1)))</f>
        <v>4.8582995951417006E-3</v>
      </c>
      <c r="AA44" s="30" cm="1">
        <f t="array" ref="AA44">IF(Table2[[#This Row],[3]]="","",Table2[[#This Row],[Weight]:[Weight]]-(Table2[[#This Row],[Weight]:[Weight]]*((_xlfn.XMATCH(Table2[[#This Row],[3]],Table2[[#This Row],[1]:[11]],0))-1)/(COUNTA(Table2[[#This Row],[1]:[11]])-COUNTBLANK(Table2[[#This Row],[1]:[11]])-1)))</f>
        <v>0</v>
      </c>
      <c r="AB44" s="30" t="str" cm="1">
        <f t="array" ref="AB44">IF(Table2[[#This Row],[4]]="","",Table2[[#This Row],[Weight]:[Weight]]-(Table2[[#This Row],[Weight]:[Weight]]*((_xlfn.XMATCH(Table2[[#This Row],[4]],Table2[[#This Row],[1]:[11]],0))-1)/(COUNTA(Table2[[#This Row],[1]:[11]])-COUNTBLANK(Table2[[#This Row],[1]:[11]])-1)))</f>
        <v/>
      </c>
      <c r="AC44" s="30" t="str" cm="1">
        <f t="array" ref="AC44">IF(Table2[[#This Row],[5]]="","",Table2[[#This Row],[Weight]:[Weight]]-(Table2[[#This Row],[Weight]:[Weight]]*((_xlfn.XMATCH(Table2[[#This Row],[5]],Table2[[#This Row],[1]:[11]],0))-1)/(COUNTA(Table2[[#This Row],[1]:[11]])-COUNTBLANK(Table2[[#This Row],[1]:[11]])-1)))</f>
        <v/>
      </c>
      <c r="AD44" s="30" t="str" cm="1">
        <f t="array" ref="AD44">IF(Table2[[#This Row],[6]]="","",Table2[[#This Row],[Weight]:[Weight]]-(Table2[[#This Row],[Weight]:[Weight]]*((_xlfn.XMATCH(Table2[[#This Row],[6]],Table2[[#This Row],[1]:[11]],0))-1)/(COUNTA(Table2[[#This Row],[1]:[11]])-COUNTBLANK(Table2[[#This Row],[1]:[11]])-1)))</f>
        <v/>
      </c>
      <c r="AE44" s="30" t="str" cm="1">
        <f t="array" ref="AE44">IF(Table2[[#This Row],[7]]="","",Table2[[#This Row],[Weight]:[Weight]]-(Table2[[#This Row],[Weight]:[Weight]]*((_xlfn.XMATCH(Table2[[#This Row],[7]],Table2[[#This Row],[1]:[11]],0))-1)/(COUNTA(Table2[[#This Row],[1]:[11]])-COUNTBLANK(Table2[[#This Row],[1]:[11]])-1)))</f>
        <v/>
      </c>
      <c r="AF44" s="30" t="str" cm="1">
        <f t="array" ref="AF44">IF(Table2[[#This Row],[8]]="","",Table2[[#This Row],[Weight]:[Weight]]-(Table2[[#This Row],[Weight]:[Weight]]*((_xlfn.XMATCH(Table2[[#This Row],[8]],Table2[[#This Row],[1]:[11]],0))-1)/(COUNTA(Table2[[#This Row],[1]:[11]])-COUNTBLANK(Table2[[#This Row],[1]:[11]])-1)))</f>
        <v/>
      </c>
      <c r="AG44" s="41" t="str" cm="1">
        <f t="array" ref="AG44">IF(Table2[[#This Row],[9]]="","",Table2[[#This Row],[Weight]:[Weight]]-(Table2[[#This Row],[Weight]:[Weight]]*((_xlfn.XMATCH(Table2[[#This Row],[9]],Table2[[#This Row],[1]:[11]],0))-1)/(COUNTA(Table2[[#This Row],[1]:[11]])-COUNTBLANK(Table2[[#This Row],[1]:[11]])-1)))</f>
        <v/>
      </c>
      <c r="AH44" s="41" t="str" cm="1">
        <f t="array" ref="AH44">IF(Table2[[#This Row],[10]]="","",Table2[[#This Row],[Weight]:[Weight]]-(Table2[[#This Row],[Weight]:[Weight]]*((_xlfn.XMATCH(Table2[[#This Row],[10]],Table2[[#This Row],[1]:[11]],0))-1)/(COUNTA(Table2[[#This Row],[1]:[11]])-COUNTBLANK(Table2[[#This Row],[1]:[11]])-1)))</f>
        <v/>
      </c>
      <c r="AI44" s="41" t="str" cm="1">
        <f t="array" ref="AI44">IF(Table2[[#This Row],[11]]="","",Table2[[#This Row],[Weight]:[Weight]]-(Table2[[#This Row],[Weight]:[Weight]]*((_xlfn.XMATCH(Table2[[#This Row],[11]],Table2[[#This Row],[1]:[11]],0))-1)/(COUNTA(Table2[[#This Row],[1]:[11]])-COUNTBLANK(Table2[[#This Row],[1]:[11]])-1)))</f>
        <v/>
      </c>
    </row>
    <row r="45" spans="1:35" ht="72" x14ac:dyDescent="0.2">
      <c r="A45" s="117" t="s">
        <v>183</v>
      </c>
      <c r="B45" s="183" t="s">
        <v>184</v>
      </c>
      <c r="C45" s="204" t="s">
        <v>185</v>
      </c>
      <c r="D45" s="21"/>
      <c r="E45" s="21" t="s">
        <v>55</v>
      </c>
      <c r="F45" s="22" t="s">
        <v>60</v>
      </c>
      <c r="G45" s="23" cm="1">
        <f t="array" ref="G45">_xlfn.IFS(F45="","",F45="No interest",0,F45="Nice to have",1,F45="Useful",2,F45="Important",3,F45="Very important",4,F45="Critical",5,F45="Show stopper",6)</f>
        <v>6</v>
      </c>
      <c r="H45" s="24">
        <f t="shared" si="1"/>
        <v>9.7165991902834013E-3</v>
      </c>
      <c r="I45" s="25" t="s">
        <v>118</v>
      </c>
      <c r="J45" s="37" t="str" cm="1">
        <f t="array" ref="J45">_xlfn.TEXTJOIN(" "&amp;CHAR(10),,TEXT(SUBSTITUTE(Table2[[#This Row],[12]:[22]],".",","),"0,00%"))</f>
        <v>0,0097165991902834 
0,0048582995951417 
0,00%</v>
      </c>
      <c r="K45" s="26" t="s">
        <v>119</v>
      </c>
      <c r="L45" s="27">
        <f>H45-(H45*((MATCH(Table2[[#This Row],[Evaluators Response (SELECT)]],Table2[[#This Row],[1]:[11]],0)-1)/(COUNTA(Table2[[#This Row],[1]:[11]])-COUNTBLANK(Table2[[#This Row],[1]:[11]])-1)))</f>
        <v>9.7165991902834013E-3</v>
      </c>
      <c r="M45" s="28"/>
      <c r="N45" s="41" t="str" cm="1">
        <f t="array" ref="N45">IFERROR(INDEX(_xlfn.UNIQUE(TRIM(_xlfn.TEXTSPLIT(Table2[[#This Row],[Selection Options]:[Selection Options]],","))),,N$21),"")</f>
        <v>1. Extensive functionality available</v>
      </c>
      <c r="O45" s="29" t="str" cm="1">
        <f t="array" ref="O45">IFERROR(INDEX(_xlfn.UNIQUE(TRIM(_xlfn.TEXTSPLIT(Table2[[#This Row],[Selection Options]:[Selection Options]],","))),,O$21),"")</f>
        <v xml:space="preserve">
2. Limited functionality available</v>
      </c>
      <c r="P45" s="29" t="str" cm="1">
        <f t="array" ref="P45">IFERROR(INDEX(_xlfn.UNIQUE(TRIM(_xlfn.TEXTSPLIT(Table2[[#This Row],[Selection Options]:[Selection Options]],","))),,P$21),"")</f>
        <v xml:space="preserve">
3. Functionality not available</v>
      </c>
      <c r="Q45" s="29" t="str" cm="1">
        <f t="array" ref="Q45">IFERROR(INDEX(_xlfn.UNIQUE(TRIM(_xlfn.TEXTSPLIT(Table2[[#This Row],[Selection Options]:[Selection Options]],","))),,Q$21),"")</f>
        <v/>
      </c>
      <c r="R45" s="29" t="str" cm="1">
        <f t="array" ref="R45">IFERROR(INDEX(_xlfn.UNIQUE(TRIM(_xlfn.TEXTSPLIT(Table2[[#This Row],[Selection Options]:[Selection Options]],","))),,R$21),"")</f>
        <v/>
      </c>
      <c r="S45" s="29" t="str" cm="1">
        <f t="array" ref="S45">IFERROR(INDEX(_xlfn.UNIQUE(TRIM(_xlfn.TEXTSPLIT(Table2[[#This Row],[Selection Options]:[Selection Options]],","))),,S$21),"")</f>
        <v/>
      </c>
      <c r="T45" s="29" t="str" cm="1">
        <f t="array" ref="T45">IFERROR(INDEX(_xlfn.UNIQUE(TRIM(_xlfn.TEXTSPLIT(Table2[[#This Row],[Selection Options]:[Selection Options]],","))),,T$21),"")</f>
        <v/>
      </c>
      <c r="U45" s="29" t="str" cm="1">
        <f t="array" ref="U45">IFERROR(INDEX(_xlfn.UNIQUE(TRIM(_xlfn.TEXTSPLIT(Table2[[#This Row],[Selection Options]:[Selection Options]],","))),,U$21),"")</f>
        <v/>
      </c>
      <c r="V45" s="29" t="str" cm="1">
        <f t="array" ref="V45">IFERROR(INDEX(_xlfn.UNIQUE(TRIM(_xlfn.TEXTSPLIT(Table2[[#This Row],[Selection Options]:[Selection Options]],","))),,V$21),"")</f>
        <v/>
      </c>
      <c r="W45" s="29" t="str" cm="1">
        <f t="array" ref="W45">IFERROR(INDEX(_xlfn.UNIQUE(TRIM(_xlfn.TEXTSPLIT(Table2[[#This Row],[Selection Options]:[Selection Options]],","))),,W$21),"")</f>
        <v/>
      </c>
      <c r="X45" s="29" t="str" cm="1">
        <f t="array" ref="X45">IFERROR(INDEX(_xlfn.UNIQUE(TRIM(_xlfn.TEXTSPLIT(Table2[[#This Row],[Selection Options]:[Selection Options]],","))),,X$21),"")</f>
        <v/>
      </c>
      <c r="Y45" s="30" cm="1">
        <f t="array" ref="Y45">IF(Table2[[#This Row],[1]]="","",Table2[[#This Row],[Weight]:[Weight]]-(Table2[[#This Row],[Weight]:[Weight]]*((_xlfn.XMATCH(Table2[[#This Row],[1]],Table2[[#This Row],[1]:[11]],0))-1)/(COUNTA(Table2[[#This Row],[1]:[11]])-COUNTBLANK(Table2[[#This Row],[1]:[11]])-1)))</f>
        <v>9.7165991902834013E-3</v>
      </c>
      <c r="Z45" s="30" cm="1">
        <f t="array" ref="Z45">IF(Table2[[#This Row],[2]]="","",Table2[[#This Row],[Weight]:[Weight]]-(Table2[[#This Row],[Weight]:[Weight]]*((_xlfn.XMATCH(Table2[[#This Row],[2]],Table2[[#This Row],[1]:[11]],0))-1)/(COUNTA(Table2[[#This Row],[1]:[11]])-COUNTBLANK(Table2[[#This Row],[1]:[11]])-1)))</f>
        <v>4.8582995951417006E-3</v>
      </c>
      <c r="AA45" s="30" cm="1">
        <f t="array" ref="AA45">IF(Table2[[#This Row],[3]]="","",Table2[[#This Row],[Weight]:[Weight]]-(Table2[[#This Row],[Weight]:[Weight]]*((_xlfn.XMATCH(Table2[[#This Row],[3]],Table2[[#This Row],[1]:[11]],0))-1)/(COUNTA(Table2[[#This Row],[1]:[11]])-COUNTBLANK(Table2[[#This Row],[1]:[11]])-1)))</f>
        <v>0</v>
      </c>
      <c r="AB45" s="30" t="str" cm="1">
        <f t="array" ref="AB45">IF(Table2[[#This Row],[4]]="","",Table2[[#This Row],[Weight]:[Weight]]-(Table2[[#This Row],[Weight]:[Weight]]*((_xlfn.XMATCH(Table2[[#This Row],[4]],Table2[[#This Row],[1]:[11]],0))-1)/(COUNTA(Table2[[#This Row],[1]:[11]])-COUNTBLANK(Table2[[#This Row],[1]:[11]])-1)))</f>
        <v/>
      </c>
      <c r="AC45" s="30" t="str" cm="1">
        <f t="array" ref="AC45">IF(Table2[[#This Row],[5]]="","",Table2[[#This Row],[Weight]:[Weight]]-(Table2[[#This Row],[Weight]:[Weight]]*((_xlfn.XMATCH(Table2[[#This Row],[5]],Table2[[#This Row],[1]:[11]],0))-1)/(COUNTA(Table2[[#This Row],[1]:[11]])-COUNTBLANK(Table2[[#This Row],[1]:[11]])-1)))</f>
        <v/>
      </c>
      <c r="AD45" s="30" t="str" cm="1">
        <f t="array" ref="AD45">IF(Table2[[#This Row],[6]]="","",Table2[[#This Row],[Weight]:[Weight]]-(Table2[[#This Row],[Weight]:[Weight]]*((_xlfn.XMATCH(Table2[[#This Row],[6]],Table2[[#This Row],[1]:[11]],0))-1)/(COUNTA(Table2[[#This Row],[1]:[11]])-COUNTBLANK(Table2[[#This Row],[1]:[11]])-1)))</f>
        <v/>
      </c>
      <c r="AE45" s="30" t="str" cm="1">
        <f t="array" ref="AE45">IF(Table2[[#This Row],[7]]="","",Table2[[#This Row],[Weight]:[Weight]]-(Table2[[#This Row],[Weight]:[Weight]]*((_xlfn.XMATCH(Table2[[#This Row],[7]],Table2[[#This Row],[1]:[11]],0))-1)/(COUNTA(Table2[[#This Row],[1]:[11]])-COUNTBLANK(Table2[[#This Row],[1]:[11]])-1)))</f>
        <v/>
      </c>
      <c r="AF45" s="30" t="str" cm="1">
        <f t="array" ref="AF45">IF(Table2[[#This Row],[8]]="","",Table2[[#This Row],[Weight]:[Weight]]-(Table2[[#This Row],[Weight]:[Weight]]*((_xlfn.XMATCH(Table2[[#This Row],[8]],Table2[[#This Row],[1]:[11]],0))-1)/(COUNTA(Table2[[#This Row],[1]:[11]])-COUNTBLANK(Table2[[#This Row],[1]:[11]])-1)))</f>
        <v/>
      </c>
      <c r="AG45" s="41" t="str" cm="1">
        <f t="array" ref="AG45">IF(Table2[[#This Row],[9]]="","",Table2[[#This Row],[Weight]:[Weight]]-(Table2[[#This Row],[Weight]:[Weight]]*((_xlfn.XMATCH(Table2[[#This Row],[9]],Table2[[#This Row],[1]:[11]],0))-1)/(COUNTA(Table2[[#This Row],[1]:[11]])-COUNTBLANK(Table2[[#This Row],[1]:[11]])-1)))</f>
        <v/>
      </c>
      <c r="AH45" s="41" t="str" cm="1">
        <f t="array" ref="AH45">IF(Table2[[#This Row],[10]]="","",Table2[[#This Row],[Weight]:[Weight]]-(Table2[[#This Row],[Weight]:[Weight]]*((_xlfn.XMATCH(Table2[[#This Row],[10]],Table2[[#This Row],[1]:[11]],0))-1)/(COUNTA(Table2[[#This Row],[1]:[11]])-COUNTBLANK(Table2[[#This Row],[1]:[11]])-1)))</f>
        <v/>
      </c>
      <c r="AI45" s="41" t="str" cm="1">
        <f t="array" ref="AI45">IF(Table2[[#This Row],[11]]="","",Table2[[#This Row],[Weight]:[Weight]]-(Table2[[#This Row],[Weight]:[Weight]]*((_xlfn.XMATCH(Table2[[#This Row],[11]],Table2[[#This Row],[1]:[11]],0))-1)/(COUNTA(Table2[[#This Row],[1]:[11]])-COUNTBLANK(Table2[[#This Row],[1]:[11]])-1)))</f>
        <v/>
      </c>
    </row>
    <row r="46" spans="1:35" ht="72" x14ac:dyDescent="0.2">
      <c r="A46" s="117" t="s">
        <v>186</v>
      </c>
      <c r="B46" s="183" t="s">
        <v>187</v>
      </c>
      <c r="C46" s="204" t="s">
        <v>188</v>
      </c>
      <c r="D46" s="21"/>
      <c r="E46" s="21" t="s">
        <v>55</v>
      </c>
      <c r="F46" s="22" t="s">
        <v>60</v>
      </c>
      <c r="G46" s="23" cm="1">
        <f t="array" ref="G46">_xlfn.IFS(F46="","",F46="No interest",0,F46="Nice to have",1,F46="Useful",2,F46="Important",3,F46="Very important",4,F46="Critical",5,F46="Show stopper",6)</f>
        <v>6</v>
      </c>
      <c r="H46" s="24">
        <f t="shared" si="1"/>
        <v>9.7165991902834013E-3</v>
      </c>
      <c r="I46" s="25" t="s">
        <v>118</v>
      </c>
      <c r="J46" s="37" t="str" cm="1">
        <f t="array" ref="J46">_xlfn.TEXTJOIN(" "&amp;CHAR(10),,TEXT(SUBSTITUTE(Table2[[#This Row],[12]:[22]],".",","),"0,00%"))</f>
        <v>0,0097165991902834 
0,0048582995951417 
0,00%</v>
      </c>
      <c r="K46" s="26" t="s">
        <v>119</v>
      </c>
      <c r="L46" s="27">
        <f>H46-(H46*((MATCH(Table2[[#This Row],[Evaluators Response (SELECT)]],Table2[[#This Row],[1]:[11]],0)-1)/(COUNTA(Table2[[#This Row],[1]:[11]])-COUNTBLANK(Table2[[#This Row],[1]:[11]])-1)))</f>
        <v>9.7165991902834013E-3</v>
      </c>
      <c r="M46" s="28"/>
      <c r="N46" s="41" t="str" cm="1">
        <f t="array" ref="N46">IFERROR(INDEX(_xlfn.UNIQUE(TRIM(_xlfn.TEXTSPLIT(Table2[[#This Row],[Selection Options]:[Selection Options]],","))),,N$21),"")</f>
        <v>1. Extensive functionality available</v>
      </c>
      <c r="O46" s="29" t="str" cm="1">
        <f t="array" ref="O46">IFERROR(INDEX(_xlfn.UNIQUE(TRIM(_xlfn.TEXTSPLIT(Table2[[#This Row],[Selection Options]:[Selection Options]],","))),,O$21),"")</f>
        <v xml:space="preserve">
2. Limited functionality available</v>
      </c>
      <c r="P46" s="29" t="str" cm="1">
        <f t="array" ref="P46">IFERROR(INDEX(_xlfn.UNIQUE(TRIM(_xlfn.TEXTSPLIT(Table2[[#This Row],[Selection Options]:[Selection Options]],","))),,P$21),"")</f>
        <v xml:space="preserve">
3. Functionality not available</v>
      </c>
      <c r="Q46" s="29" t="str" cm="1">
        <f t="array" ref="Q46">IFERROR(INDEX(_xlfn.UNIQUE(TRIM(_xlfn.TEXTSPLIT(Table2[[#This Row],[Selection Options]:[Selection Options]],","))),,Q$21),"")</f>
        <v/>
      </c>
      <c r="R46" s="29" t="str" cm="1">
        <f t="array" ref="R46">IFERROR(INDEX(_xlfn.UNIQUE(TRIM(_xlfn.TEXTSPLIT(Table2[[#This Row],[Selection Options]:[Selection Options]],","))),,R$21),"")</f>
        <v/>
      </c>
      <c r="S46" s="29" t="str" cm="1">
        <f t="array" ref="S46">IFERROR(INDEX(_xlfn.UNIQUE(TRIM(_xlfn.TEXTSPLIT(Table2[[#This Row],[Selection Options]:[Selection Options]],","))),,S$21),"")</f>
        <v/>
      </c>
      <c r="T46" s="29" t="str" cm="1">
        <f t="array" ref="T46">IFERROR(INDEX(_xlfn.UNIQUE(TRIM(_xlfn.TEXTSPLIT(Table2[[#This Row],[Selection Options]:[Selection Options]],","))),,T$21),"")</f>
        <v/>
      </c>
      <c r="U46" s="29" t="str" cm="1">
        <f t="array" ref="U46">IFERROR(INDEX(_xlfn.UNIQUE(TRIM(_xlfn.TEXTSPLIT(Table2[[#This Row],[Selection Options]:[Selection Options]],","))),,U$21),"")</f>
        <v/>
      </c>
      <c r="V46" s="29" t="str" cm="1">
        <f t="array" ref="V46">IFERROR(INDEX(_xlfn.UNIQUE(TRIM(_xlfn.TEXTSPLIT(Table2[[#This Row],[Selection Options]:[Selection Options]],","))),,V$21),"")</f>
        <v/>
      </c>
      <c r="W46" s="29" t="str" cm="1">
        <f t="array" ref="W46">IFERROR(INDEX(_xlfn.UNIQUE(TRIM(_xlfn.TEXTSPLIT(Table2[[#This Row],[Selection Options]:[Selection Options]],","))),,W$21),"")</f>
        <v/>
      </c>
      <c r="X46" s="29" t="str" cm="1">
        <f t="array" ref="X46">IFERROR(INDEX(_xlfn.UNIQUE(TRIM(_xlfn.TEXTSPLIT(Table2[[#This Row],[Selection Options]:[Selection Options]],","))),,X$21),"")</f>
        <v/>
      </c>
      <c r="Y46" s="30" cm="1">
        <f t="array" ref="Y46">IF(Table2[[#This Row],[1]]="","",Table2[[#This Row],[Weight]:[Weight]]-(Table2[[#This Row],[Weight]:[Weight]]*((_xlfn.XMATCH(Table2[[#This Row],[1]],Table2[[#This Row],[1]:[11]],0))-1)/(COUNTA(Table2[[#This Row],[1]:[11]])-COUNTBLANK(Table2[[#This Row],[1]:[11]])-1)))</f>
        <v>9.7165991902834013E-3</v>
      </c>
      <c r="Z46" s="30" cm="1">
        <f t="array" ref="Z46">IF(Table2[[#This Row],[2]]="","",Table2[[#This Row],[Weight]:[Weight]]-(Table2[[#This Row],[Weight]:[Weight]]*((_xlfn.XMATCH(Table2[[#This Row],[2]],Table2[[#This Row],[1]:[11]],0))-1)/(COUNTA(Table2[[#This Row],[1]:[11]])-COUNTBLANK(Table2[[#This Row],[1]:[11]])-1)))</f>
        <v>4.8582995951417006E-3</v>
      </c>
      <c r="AA46" s="30" cm="1">
        <f t="array" ref="AA46">IF(Table2[[#This Row],[3]]="","",Table2[[#This Row],[Weight]:[Weight]]-(Table2[[#This Row],[Weight]:[Weight]]*((_xlfn.XMATCH(Table2[[#This Row],[3]],Table2[[#This Row],[1]:[11]],0))-1)/(COUNTA(Table2[[#This Row],[1]:[11]])-COUNTBLANK(Table2[[#This Row],[1]:[11]])-1)))</f>
        <v>0</v>
      </c>
      <c r="AB46" s="30" t="str" cm="1">
        <f t="array" ref="AB46">IF(Table2[[#This Row],[4]]="","",Table2[[#This Row],[Weight]:[Weight]]-(Table2[[#This Row],[Weight]:[Weight]]*((_xlfn.XMATCH(Table2[[#This Row],[4]],Table2[[#This Row],[1]:[11]],0))-1)/(COUNTA(Table2[[#This Row],[1]:[11]])-COUNTBLANK(Table2[[#This Row],[1]:[11]])-1)))</f>
        <v/>
      </c>
      <c r="AC46" s="30" t="str" cm="1">
        <f t="array" ref="AC46">IF(Table2[[#This Row],[5]]="","",Table2[[#This Row],[Weight]:[Weight]]-(Table2[[#This Row],[Weight]:[Weight]]*((_xlfn.XMATCH(Table2[[#This Row],[5]],Table2[[#This Row],[1]:[11]],0))-1)/(COUNTA(Table2[[#This Row],[1]:[11]])-COUNTBLANK(Table2[[#This Row],[1]:[11]])-1)))</f>
        <v/>
      </c>
      <c r="AD46" s="30" t="str" cm="1">
        <f t="array" ref="AD46">IF(Table2[[#This Row],[6]]="","",Table2[[#This Row],[Weight]:[Weight]]-(Table2[[#This Row],[Weight]:[Weight]]*((_xlfn.XMATCH(Table2[[#This Row],[6]],Table2[[#This Row],[1]:[11]],0))-1)/(COUNTA(Table2[[#This Row],[1]:[11]])-COUNTBLANK(Table2[[#This Row],[1]:[11]])-1)))</f>
        <v/>
      </c>
      <c r="AE46" s="30" t="str" cm="1">
        <f t="array" ref="AE46">IF(Table2[[#This Row],[7]]="","",Table2[[#This Row],[Weight]:[Weight]]-(Table2[[#This Row],[Weight]:[Weight]]*((_xlfn.XMATCH(Table2[[#This Row],[7]],Table2[[#This Row],[1]:[11]],0))-1)/(COUNTA(Table2[[#This Row],[1]:[11]])-COUNTBLANK(Table2[[#This Row],[1]:[11]])-1)))</f>
        <v/>
      </c>
      <c r="AF46" s="30" t="str" cm="1">
        <f t="array" ref="AF46">IF(Table2[[#This Row],[8]]="","",Table2[[#This Row],[Weight]:[Weight]]-(Table2[[#This Row],[Weight]:[Weight]]*((_xlfn.XMATCH(Table2[[#This Row],[8]],Table2[[#This Row],[1]:[11]],0))-1)/(COUNTA(Table2[[#This Row],[1]:[11]])-COUNTBLANK(Table2[[#This Row],[1]:[11]])-1)))</f>
        <v/>
      </c>
      <c r="AG46" s="41" t="str" cm="1">
        <f t="array" ref="AG46">IF(Table2[[#This Row],[9]]="","",Table2[[#This Row],[Weight]:[Weight]]-(Table2[[#This Row],[Weight]:[Weight]]*((_xlfn.XMATCH(Table2[[#This Row],[9]],Table2[[#This Row],[1]:[11]],0))-1)/(COUNTA(Table2[[#This Row],[1]:[11]])-COUNTBLANK(Table2[[#This Row],[1]:[11]])-1)))</f>
        <v/>
      </c>
      <c r="AH46" s="41" t="str" cm="1">
        <f t="array" ref="AH46">IF(Table2[[#This Row],[10]]="","",Table2[[#This Row],[Weight]:[Weight]]-(Table2[[#This Row],[Weight]:[Weight]]*((_xlfn.XMATCH(Table2[[#This Row],[10]],Table2[[#This Row],[1]:[11]],0))-1)/(COUNTA(Table2[[#This Row],[1]:[11]])-COUNTBLANK(Table2[[#This Row],[1]:[11]])-1)))</f>
        <v/>
      </c>
      <c r="AI46" s="41" t="str" cm="1">
        <f t="array" ref="AI46">IF(Table2[[#This Row],[11]]="","",Table2[[#This Row],[Weight]:[Weight]]-(Table2[[#This Row],[Weight]:[Weight]]*((_xlfn.XMATCH(Table2[[#This Row],[11]],Table2[[#This Row],[1]:[11]],0))-1)/(COUNTA(Table2[[#This Row],[1]:[11]])-COUNTBLANK(Table2[[#This Row],[1]:[11]])-1)))</f>
        <v/>
      </c>
    </row>
    <row r="47" spans="1:35" ht="72" x14ac:dyDescent="0.2">
      <c r="A47" s="117" t="s">
        <v>189</v>
      </c>
      <c r="B47" s="183" t="s">
        <v>190</v>
      </c>
      <c r="C47" s="204" t="s">
        <v>191</v>
      </c>
      <c r="D47" s="21"/>
      <c r="E47" s="21" t="s">
        <v>55</v>
      </c>
      <c r="F47" s="22" t="s">
        <v>60</v>
      </c>
      <c r="G47" s="23" cm="1">
        <f t="array" ref="G47">_xlfn.IFS(F47="","",F47="No interest",0,F47="Nice to have",1,F47="Useful",2,F47="Important",3,F47="Very important",4,F47="Critical",5,F47="Show stopper",6)</f>
        <v>6</v>
      </c>
      <c r="H47" s="24">
        <f t="shared" si="1"/>
        <v>9.7165991902834013E-3</v>
      </c>
      <c r="I47" s="25" t="s">
        <v>118</v>
      </c>
      <c r="J47" s="37" t="str" cm="1">
        <f t="array" ref="J47">_xlfn.TEXTJOIN(" "&amp;CHAR(10),,TEXT(SUBSTITUTE(Table2[[#This Row],[12]:[22]],".",","),"0,00%"))</f>
        <v>0,0097165991902834 
0,0048582995951417 
0,00%</v>
      </c>
      <c r="K47" s="26" t="s">
        <v>119</v>
      </c>
      <c r="L47" s="27">
        <f>H47-(H47*((MATCH(Table2[[#This Row],[Evaluators Response (SELECT)]],Table2[[#This Row],[1]:[11]],0)-1)/(COUNTA(Table2[[#This Row],[1]:[11]])-COUNTBLANK(Table2[[#This Row],[1]:[11]])-1)))</f>
        <v>9.7165991902834013E-3</v>
      </c>
      <c r="M47" s="28"/>
      <c r="N47" s="41" t="str" cm="1">
        <f t="array" ref="N47">IFERROR(INDEX(_xlfn.UNIQUE(TRIM(_xlfn.TEXTSPLIT(Table2[[#This Row],[Selection Options]:[Selection Options]],","))),,N$21),"")</f>
        <v>1. Extensive functionality available</v>
      </c>
      <c r="O47" s="29" t="str" cm="1">
        <f t="array" ref="O47">IFERROR(INDEX(_xlfn.UNIQUE(TRIM(_xlfn.TEXTSPLIT(Table2[[#This Row],[Selection Options]:[Selection Options]],","))),,O$21),"")</f>
        <v xml:space="preserve">
2. Limited functionality available</v>
      </c>
      <c r="P47" s="29" t="str" cm="1">
        <f t="array" ref="P47">IFERROR(INDEX(_xlfn.UNIQUE(TRIM(_xlfn.TEXTSPLIT(Table2[[#This Row],[Selection Options]:[Selection Options]],","))),,P$21),"")</f>
        <v xml:space="preserve">
3. Functionality not available</v>
      </c>
      <c r="Q47" s="29" t="str" cm="1">
        <f t="array" ref="Q47">IFERROR(INDEX(_xlfn.UNIQUE(TRIM(_xlfn.TEXTSPLIT(Table2[[#This Row],[Selection Options]:[Selection Options]],","))),,Q$21),"")</f>
        <v/>
      </c>
      <c r="R47" s="29" t="str" cm="1">
        <f t="array" ref="R47">IFERROR(INDEX(_xlfn.UNIQUE(TRIM(_xlfn.TEXTSPLIT(Table2[[#This Row],[Selection Options]:[Selection Options]],","))),,R$21),"")</f>
        <v/>
      </c>
      <c r="S47" s="29" t="str" cm="1">
        <f t="array" ref="S47">IFERROR(INDEX(_xlfn.UNIQUE(TRIM(_xlfn.TEXTSPLIT(Table2[[#This Row],[Selection Options]:[Selection Options]],","))),,S$21),"")</f>
        <v/>
      </c>
      <c r="T47" s="29" t="str" cm="1">
        <f t="array" ref="T47">IFERROR(INDEX(_xlfn.UNIQUE(TRIM(_xlfn.TEXTSPLIT(Table2[[#This Row],[Selection Options]:[Selection Options]],","))),,T$21),"")</f>
        <v/>
      </c>
      <c r="U47" s="29" t="str" cm="1">
        <f t="array" ref="U47">IFERROR(INDEX(_xlfn.UNIQUE(TRIM(_xlfn.TEXTSPLIT(Table2[[#This Row],[Selection Options]:[Selection Options]],","))),,U$21),"")</f>
        <v/>
      </c>
      <c r="V47" s="29" t="str" cm="1">
        <f t="array" ref="V47">IFERROR(INDEX(_xlfn.UNIQUE(TRIM(_xlfn.TEXTSPLIT(Table2[[#This Row],[Selection Options]:[Selection Options]],","))),,V$21),"")</f>
        <v/>
      </c>
      <c r="W47" s="29" t="str" cm="1">
        <f t="array" ref="W47">IFERROR(INDEX(_xlfn.UNIQUE(TRIM(_xlfn.TEXTSPLIT(Table2[[#This Row],[Selection Options]:[Selection Options]],","))),,W$21),"")</f>
        <v/>
      </c>
      <c r="X47" s="29" t="str" cm="1">
        <f t="array" ref="X47">IFERROR(INDEX(_xlfn.UNIQUE(TRIM(_xlfn.TEXTSPLIT(Table2[[#This Row],[Selection Options]:[Selection Options]],","))),,X$21),"")</f>
        <v/>
      </c>
      <c r="Y47" s="30" cm="1">
        <f t="array" ref="Y47">IF(Table2[[#This Row],[1]]="","",Table2[[#This Row],[Weight]:[Weight]]-(Table2[[#This Row],[Weight]:[Weight]]*((_xlfn.XMATCH(Table2[[#This Row],[1]],Table2[[#This Row],[1]:[11]],0))-1)/(COUNTA(Table2[[#This Row],[1]:[11]])-COUNTBLANK(Table2[[#This Row],[1]:[11]])-1)))</f>
        <v>9.7165991902834013E-3</v>
      </c>
      <c r="Z47" s="30" cm="1">
        <f t="array" ref="Z47">IF(Table2[[#This Row],[2]]="","",Table2[[#This Row],[Weight]:[Weight]]-(Table2[[#This Row],[Weight]:[Weight]]*((_xlfn.XMATCH(Table2[[#This Row],[2]],Table2[[#This Row],[1]:[11]],0))-1)/(COUNTA(Table2[[#This Row],[1]:[11]])-COUNTBLANK(Table2[[#This Row],[1]:[11]])-1)))</f>
        <v>4.8582995951417006E-3</v>
      </c>
      <c r="AA47" s="30" cm="1">
        <f t="array" ref="AA47">IF(Table2[[#This Row],[3]]="","",Table2[[#This Row],[Weight]:[Weight]]-(Table2[[#This Row],[Weight]:[Weight]]*((_xlfn.XMATCH(Table2[[#This Row],[3]],Table2[[#This Row],[1]:[11]],0))-1)/(COUNTA(Table2[[#This Row],[1]:[11]])-COUNTBLANK(Table2[[#This Row],[1]:[11]])-1)))</f>
        <v>0</v>
      </c>
      <c r="AB47" s="30" t="str" cm="1">
        <f t="array" ref="AB47">IF(Table2[[#This Row],[4]]="","",Table2[[#This Row],[Weight]:[Weight]]-(Table2[[#This Row],[Weight]:[Weight]]*((_xlfn.XMATCH(Table2[[#This Row],[4]],Table2[[#This Row],[1]:[11]],0))-1)/(COUNTA(Table2[[#This Row],[1]:[11]])-COUNTBLANK(Table2[[#This Row],[1]:[11]])-1)))</f>
        <v/>
      </c>
      <c r="AC47" s="30" t="str" cm="1">
        <f t="array" ref="AC47">IF(Table2[[#This Row],[5]]="","",Table2[[#This Row],[Weight]:[Weight]]-(Table2[[#This Row],[Weight]:[Weight]]*((_xlfn.XMATCH(Table2[[#This Row],[5]],Table2[[#This Row],[1]:[11]],0))-1)/(COUNTA(Table2[[#This Row],[1]:[11]])-COUNTBLANK(Table2[[#This Row],[1]:[11]])-1)))</f>
        <v/>
      </c>
      <c r="AD47" s="30" t="str" cm="1">
        <f t="array" ref="AD47">IF(Table2[[#This Row],[6]]="","",Table2[[#This Row],[Weight]:[Weight]]-(Table2[[#This Row],[Weight]:[Weight]]*((_xlfn.XMATCH(Table2[[#This Row],[6]],Table2[[#This Row],[1]:[11]],0))-1)/(COUNTA(Table2[[#This Row],[1]:[11]])-COUNTBLANK(Table2[[#This Row],[1]:[11]])-1)))</f>
        <v/>
      </c>
      <c r="AE47" s="30" t="str" cm="1">
        <f t="array" ref="AE47">IF(Table2[[#This Row],[7]]="","",Table2[[#This Row],[Weight]:[Weight]]-(Table2[[#This Row],[Weight]:[Weight]]*((_xlfn.XMATCH(Table2[[#This Row],[7]],Table2[[#This Row],[1]:[11]],0))-1)/(COUNTA(Table2[[#This Row],[1]:[11]])-COUNTBLANK(Table2[[#This Row],[1]:[11]])-1)))</f>
        <v/>
      </c>
      <c r="AF47" s="30" t="str" cm="1">
        <f t="array" ref="AF47">IF(Table2[[#This Row],[8]]="","",Table2[[#This Row],[Weight]:[Weight]]-(Table2[[#This Row],[Weight]:[Weight]]*((_xlfn.XMATCH(Table2[[#This Row],[8]],Table2[[#This Row],[1]:[11]],0))-1)/(COUNTA(Table2[[#This Row],[1]:[11]])-COUNTBLANK(Table2[[#This Row],[1]:[11]])-1)))</f>
        <v/>
      </c>
      <c r="AG47" s="41" t="str" cm="1">
        <f t="array" ref="AG47">IF(Table2[[#This Row],[9]]="","",Table2[[#This Row],[Weight]:[Weight]]-(Table2[[#This Row],[Weight]:[Weight]]*((_xlfn.XMATCH(Table2[[#This Row],[9]],Table2[[#This Row],[1]:[11]],0))-1)/(COUNTA(Table2[[#This Row],[1]:[11]])-COUNTBLANK(Table2[[#This Row],[1]:[11]])-1)))</f>
        <v/>
      </c>
      <c r="AH47" s="41" t="str" cm="1">
        <f t="array" ref="AH47">IF(Table2[[#This Row],[10]]="","",Table2[[#This Row],[Weight]:[Weight]]-(Table2[[#This Row],[Weight]:[Weight]]*((_xlfn.XMATCH(Table2[[#This Row],[10]],Table2[[#This Row],[1]:[11]],0))-1)/(COUNTA(Table2[[#This Row],[1]:[11]])-COUNTBLANK(Table2[[#This Row],[1]:[11]])-1)))</f>
        <v/>
      </c>
      <c r="AI47" s="41" t="str" cm="1">
        <f t="array" ref="AI47">IF(Table2[[#This Row],[11]]="","",Table2[[#This Row],[Weight]:[Weight]]-(Table2[[#This Row],[Weight]:[Weight]]*((_xlfn.XMATCH(Table2[[#This Row],[11]],Table2[[#This Row],[1]:[11]],0))-1)/(COUNTA(Table2[[#This Row],[1]:[11]])-COUNTBLANK(Table2[[#This Row],[1]:[11]])-1)))</f>
        <v/>
      </c>
    </row>
    <row r="48" spans="1:35" ht="72" x14ac:dyDescent="0.2">
      <c r="A48" s="117" t="s">
        <v>192</v>
      </c>
      <c r="B48" s="183" t="s">
        <v>193</v>
      </c>
      <c r="C48" s="204" t="s">
        <v>194</v>
      </c>
      <c r="D48" s="21"/>
      <c r="E48" s="21" t="s">
        <v>55</v>
      </c>
      <c r="F48" s="22" t="s">
        <v>60</v>
      </c>
      <c r="G48" s="23" cm="1">
        <f t="array" ref="G48">_xlfn.IFS(F48="","",F48="No interest",0,F48="Nice to have",1,F48="Useful",2,F48="Important",3,F48="Very important",4,F48="Critical",5,F48="Show stopper",6)</f>
        <v>6</v>
      </c>
      <c r="H48" s="24">
        <f t="shared" si="1"/>
        <v>9.7165991902834013E-3</v>
      </c>
      <c r="I48" s="25" t="s">
        <v>118</v>
      </c>
      <c r="J48" s="37" t="str" cm="1">
        <f t="array" ref="J48">_xlfn.TEXTJOIN(" "&amp;CHAR(10),,TEXT(SUBSTITUTE(Table2[[#This Row],[12]:[22]],".",","),"0,00%"))</f>
        <v>0,0097165991902834 
0,0048582995951417 
0,00%</v>
      </c>
      <c r="K48" s="26" t="s">
        <v>119</v>
      </c>
      <c r="L48" s="27">
        <f>H48-(H48*((MATCH(Table2[[#This Row],[Evaluators Response (SELECT)]],Table2[[#This Row],[1]:[11]],0)-1)/(COUNTA(Table2[[#This Row],[1]:[11]])-COUNTBLANK(Table2[[#This Row],[1]:[11]])-1)))</f>
        <v>9.7165991902834013E-3</v>
      </c>
      <c r="M48" s="28"/>
      <c r="N48" s="41" t="str" cm="1">
        <f t="array" ref="N48">IFERROR(INDEX(_xlfn.UNIQUE(TRIM(_xlfn.TEXTSPLIT(Table2[[#This Row],[Selection Options]:[Selection Options]],","))),,N$21),"")</f>
        <v>1. Extensive functionality available</v>
      </c>
      <c r="O48" s="29" t="str" cm="1">
        <f t="array" ref="O48">IFERROR(INDEX(_xlfn.UNIQUE(TRIM(_xlfn.TEXTSPLIT(Table2[[#This Row],[Selection Options]:[Selection Options]],","))),,O$21),"")</f>
        <v xml:space="preserve">
2. Limited functionality available</v>
      </c>
      <c r="P48" s="29" t="str" cm="1">
        <f t="array" ref="P48">IFERROR(INDEX(_xlfn.UNIQUE(TRIM(_xlfn.TEXTSPLIT(Table2[[#This Row],[Selection Options]:[Selection Options]],","))),,P$21),"")</f>
        <v xml:space="preserve">
3. Functionality not available</v>
      </c>
      <c r="Q48" s="29" t="str" cm="1">
        <f t="array" ref="Q48">IFERROR(INDEX(_xlfn.UNIQUE(TRIM(_xlfn.TEXTSPLIT(Table2[[#This Row],[Selection Options]:[Selection Options]],","))),,Q$21),"")</f>
        <v/>
      </c>
      <c r="R48" s="29" t="str" cm="1">
        <f t="array" ref="R48">IFERROR(INDEX(_xlfn.UNIQUE(TRIM(_xlfn.TEXTSPLIT(Table2[[#This Row],[Selection Options]:[Selection Options]],","))),,R$21),"")</f>
        <v/>
      </c>
      <c r="S48" s="29" t="str" cm="1">
        <f t="array" ref="S48">IFERROR(INDEX(_xlfn.UNIQUE(TRIM(_xlfn.TEXTSPLIT(Table2[[#This Row],[Selection Options]:[Selection Options]],","))),,S$21),"")</f>
        <v/>
      </c>
      <c r="T48" s="29" t="str" cm="1">
        <f t="array" ref="T48">IFERROR(INDEX(_xlfn.UNIQUE(TRIM(_xlfn.TEXTSPLIT(Table2[[#This Row],[Selection Options]:[Selection Options]],","))),,T$21),"")</f>
        <v/>
      </c>
      <c r="U48" s="29" t="str" cm="1">
        <f t="array" ref="U48">IFERROR(INDEX(_xlfn.UNIQUE(TRIM(_xlfn.TEXTSPLIT(Table2[[#This Row],[Selection Options]:[Selection Options]],","))),,U$21),"")</f>
        <v/>
      </c>
      <c r="V48" s="29" t="str" cm="1">
        <f t="array" ref="V48">IFERROR(INDEX(_xlfn.UNIQUE(TRIM(_xlfn.TEXTSPLIT(Table2[[#This Row],[Selection Options]:[Selection Options]],","))),,V$21),"")</f>
        <v/>
      </c>
      <c r="W48" s="29" t="str" cm="1">
        <f t="array" ref="W48">IFERROR(INDEX(_xlfn.UNIQUE(TRIM(_xlfn.TEXTSPLIT(Table2[[#This Row],[Selection Options]:[Selection Options]],","))),,W$21),"")</f>
        <v/>
      </c>
      <c r="X48" s="29" t="str" cm="1">
        <f t="array" ref="X48">IFERROR(INDEX(_xlfn.UNIQUE(TRIM(_xlfn.TEXTSPLIT(Table2[[#This Row],[Selection Options]:[Selection Options]],","))),,X$21),"")</f>
        <v/>
      </c>
      <c r="Y48" s="30" cm="1">
        <f t="array" ref="Y48">IF(Table2[[#This Row],[1]]="","",Table2[[#This Row],[Weight]:[Weight]]-(Table2[[#This Row],[Weight]:[Weight]]*((_xlfn.XMATCH(Table2[[#This Row],[1]],Table2[[#This Row],[1]:[11]],0))-1)/(COUNTA(Table2[[#This Row],[1]:[11]])-COUNTBLANK(Table2[[#This Row],[1]:[11]])-1)))</f>
        <v>9.7165991902834013E-3</v>
      </c>
      <c r="Z48" s="30" cm="1">
        <f t="array" ref="Z48">IF(Table2[[#This Row],[2]]="","",Table2[[#This Row],[Weight]:[Weight]]-(Table2[[#This Row],[Weight]:[Weight]]*((_xlfn.XMATCH(Table2[[#This Row],[2]],Table2[[#This Row],[1]:[11]],0))-1)/(COUNTA(Table2[[#This Row],[1]:[11]])-COUNTBLANK(Table2[[#This Row],[1]:[11]])-1)))</f>
        <v>4.8582995951417006E-3</v>
      </c>
      <c r="AA48" s="30" cm="1">
        <f t="array" ref="AA48">IF(Table2[[#This Row],[3]]="","",Table2[[#This Row],[Weight]:[Weight]]-(Table2[[#This Row],[Weight]:[Weight]]*((_xlfn.XMATCH(Table2[[#This Row],[3]],Table2[[#This Row],[1]:[11]],0))-1)/(COUNTA(Table2[[#This Row],[1]:[11]])-COUNTBLANK(Table2[[#This Row],[1]:[11]])-1)))</f>
        <v>0</v>
      </c>
      <c r="AB48" s="30" t="str" cm="1">
        <f t="array" ref="AB48">IF(Table2[[#This Row],[4]]="","",Table2[[#This Row],[Weight]:[Weight]]-(Table2[[#This Row],[Weight]:[Weight]]*((_xlfn.XMATCH(Table2[[#This Row],[4]],Table2[[#This Row],[1]:[11]],0))-1)/(COUNTA(Table2[[#This Row],[1]:[11]])-COUNTBLANK(Table2[[#This Row],[1]:[11]])-1)))</f>
        <v/>
      </c>
      <c r="AC48" s="30" t="str" cm="1">
        <f t="array" ref="AC48">IF(Table2[[#This Row],[5]]="","",Table2[[#This Row],[Weight]:[Weight]]-(Table2[[#This Row],[Weight]:[Weight]]*((_xlfn.XMATCH(Table2[[#This Row],[5]],Table2[[#This Row],[1]:[11]],0))-1)/(COUNTA(Table2[[#This Row],[1]:[11]])-COUNTBLANK(Table2[[#This Row],[1]:[11]])-1)))</f>
        <v/>
      </c>
      <c r="AD48" s="30" t="str" cm="1">
        <f t="array" ref="AD48">IF(Table2[[#This Row],[6]]="","",Table2[[#This Row],[Weight]:[Weight]]-(Table2[[#This Row],[Weight]:[Weight]]*((_xlfn.XMATCH(Table2[[#This Row],[6]],Table2[[#This Row],[1]:[11]],0))-1)/(COUNTA(Table2[[#This Row],[1]:[11]])-COUNTBLANK(Table2[[#This Row],[1]:[11]])-1)))</f>
        <v/>
      </c>
      <c r="AE48" s="30" t="str" cm="1">
        <f t="array" ref="AE48">IF(Table2[[#This Row],[7]]="","",Table2[[#This Row],[Weight]:[Weight]]-(Table2[[#This Row],[Weight]:[Weight]]*((_xlfn.XMATCH(Table2[[#This Row],[7]],Table2[[#This Row],[1]:[11]],0))-1)/(COUNTA(Table2[[#This Row],[1]:[11]])-COUNTBLANK(Table2[[#This Row],[1]:[11]])-1)))</f>
        <v/>
      </c>
      <c r="AF48" s="30" t="str" cm="1">
        <f t="array" ref="AF48">IF(Table2[[#This Row],[8]]="","",Table2[[#This Row],[Weight]:[Weight]]-(Table2[[#This Row],[Weight]:[Weight]]*((_xlfn.XMATCH(Table2[[#This Row],[8]],Table2[[#This Row],[1]:[11]],0))-1)/(COUNTA(Table2[[#This Row],[1]:[11]])-COUNTBLANK(Table2[[#This Row],[1]:[11]])-1)))</f>
        <v/>
      </c>
      <c r="AG48" s="41" t="str" cm="1">
        <f t="array" ref="AG48">IF(Table2[[#This Row],[9]]="","",Table2[[#This Row],[Weight]:[Weight]]-(Table2[[#This Row],[Weight]:[Weight]]*((_xlfn.XMATCH(Table2[[#This Row],[9]],Table2[[#This Row],[1]:[11]],0))-1)/(COUNTA(Table2[[#This Row],[1]:[11]])-COUNTBLANK(Table2[[#This Row],[1]:[11]])-1)))</f>
        <v/>
      </c>
      <c r="AH48" s="41" t="str" cm="1">
        <f t="array" ref="AH48">IF(Table2[[#This Row],[10]]="","",Table2[[#This Row],[Weight]:[Weight]]-(Table2[[#This Row],[Weight]:[Weight]]*((_xlfn.XMATCH(Table2[[#This Row],[10]],Table2[[#This Row],[1]:[11]],0))-1)/(COUNTA(Table2[[#This Row],[1]:[11]])-COUNTBLANK(Table2[[#This Row],[1]:[11]])-1)))</f>
        <v/>
      </c>
      <c r="AI48" s="41" t="str" cm="1">
        <f t="array" ref="AI48">IF(Table2[[#This Row],[11]]="","",Table2[[#This Row],[Weight]:[Weight]]-(Table2[[#This Row],[Weight]:[Weight]]*((_xlfn.XMATCH(Table2[[#This Row],[11]],Table2[[#This Row],[1]:[11]],0))-1)/(COUNTA(Table2[[#This Row],[1]:[11]])-COUNTBLANK(Table2[[#This Row],[1]:[11]])-1)))</f>
        <v/>
      </c>
    </row>
    <row r="49" spans="1:35" ht="72" x14ac:dyDescent="0.2">
      <c r="A49" s="117" t="s">
        <v>195</v>
      </c>
      <c r="B49" s="183" t="s">
        <v>196</v>
      </c>
      <c r="C49" s="204" t="s">
        <v>197</v>
      </c>
      <c r="D49" s="21"/>
      <c r="E49" s="21" t="s">
        <v>55</v>
      </c>
      <c r="F49" s="22" t="s">
        <v>60</v>
      </c>
      <c r="G49" s="23" cm="1">
        <f t="array" ref="G49">_xlfn.IFS(F49="","",F49="No interest",0,F49="Nice to have",1,F49="Useful",2,F49="Important",3,F49="Very important",4,F49="Critical",5,F49="Show stopper",6)</f>
        <v>6</v>
      </c>
      <c r="H49" s="24">
        <f t="shared" ref="H49:H60" si="2">(G49/$G$21)*$F$21</f>
        <v>9.7165991902834013E-3</v>
      </c>
      <c r="I49" s="25" t="s">
        <v>118</v>
      </c>
      <c r="J49" s="37" t="str" cm="1">
        <f t="array" ref="J49">_xlfn.TEXTJOIN(" "&amp;CHAR(10),,TEXT(SUBSTITUTE(Table2[[#This Row],[12]:[22]],".",","),"0,00%"))</f>
        <v>0,0097165991902834 
0,0048582995951417 
0,00%</v>
      </c>
      <c r="K49" s="26" t="s">
        <v>119</v>
      </c>
      <c r="L49" s="27">
        <f>H49-(H49*((MATCH(Table2[[#This Row],[Evaluators Response (SELECT)]],Table2[[#This Row],[1]:[11]],0)-1)/(COUNTA(Table2[[#This Row],[1]:[11]])-COUNTBLANK(Table2[[#This Row],[1]:[11]])-1)))</f>
        <v>9.7165991902834013E-3</v>
      </c>
      <c r="M49" s="28"/>
      <c r="N49" s="41" t="str" cm="1">
        <f t="array" ref="N49">IFERROR(INDEX(_xlfn.UNIQUE(TRIM(_xlfn.TEXTSPLIT(Table2[[#This Row],[Selection Options]:[Selection Options]],","))),,N$21),"")</f>
        <v>1. Extensive functionality available</v>
      </c>
      <c r="O49" s="29" t="str" cm="1">
        <f t="array" ref="O49">IFERROR(INDEX(_xlfn.UNIQUE(TRIM(_xlfn.TEXTSPLIT(Table2[[#This Row],[Selection Options]:[Selection Options]],","))),,O$21),"")</f>
        <v xml:space="preserve">
2. Limited functionality available</v>
      </c>
      <c r="P49" s="29" t="str" cm="1">
        <f t="array" ref="P49">IFERROR(INDEX(_xlfn.UNIQUE(TRIM(_xlfn.TEXTSPLIT(Table2[[#This Row],[Selection Options]:[Selection Options]],","))),,P$21),"")</f>
        <v xml:space="preserve">
3. Functionality not available</v>
      </c>
      <c r="Q49" s="29" t="str" cm="1">
        <f t="array" ref="Q49">IFERROR(INDEX(_xlfn.UNIQUE(TRIM(_xlfn.TEXTSPLIT(Table2[[#This Row],[Selection Options]:[Selection Options]],","))),,Q$21),"")</f>
        <v/>
      </c>
      <c r="R49" s="29" t="str" cm="1">
        <f t="array" ref="R49">IFERROR(INDEX(_xlfn.UNIQUE(TRIM(_xlfn.TEXTSPLIT(Table2[[#This Row],[Selection Options]:[Selection Options]],","))),,R$21),"")</f>
        <v/>
      </c>
      <c r="S49" s="29" t="str" cm="1">
        <f t="array" ref="S49">IFERROR(INDEX(_xlfn.UNIQUE(TRIM(_xlfn.TEXTSPLIT(Table2[[#This Row],[Selection Options]:[Selection Options]],","))),,S$21),"")</f>
        <v/>
      </c>
      <c r="T49" s="29" t="str" cm="1">
        <f t="array" ref="T49">IFERROR(INDEX(_xlfn.UNIQUE(TRIM(_xlfn.TEXTSPLIT(Table2[[#This Row],[Selection Options]:[Selection Options]],","))),,T$21),"")</f>
        <v/>
      </c>
      <c r="U49" s="29" t="str" cm="1">
        <f t="array" ref="U49">IFERROR(INDEX(_xlfn.UNIQUE(TRIM(_xlfn.TEXTSPLIT(Table2[[#This Row],[Selection Options]:[Selection Options]],","))),,U$21),"")</f>
        <v/>
      </c>
      <c r="V49" s="29" t="str" cm="1">
        <f t="array" ref="V49">IFERROR(INDEX(_xlfn.UNIQUE(TRIM(_xlfn.TEXTSPLIT(Table2[[#This Row],[Selection Options]:[Selection Options]],","))),,V$21),"")</f>
        <v/>
      </c>
      <c r="W49" s="29" t="str" cm="1">
        <f t="array" ref="W49">IFERROR(INDEX(_xlfn.UNIQUE(TRIM(_xlfn.TEXTSPLIT(Table2[[#This Row],[Selection Options]:[Selection Options]],","))),,W$21),"")</f>
        <v/>
      </c>
      <c r="X49" s="29" t="str" cm="1">
        <f t="array" ref="X49">IFERROR(INDEX(_xlfn.UNIQUE(TRIM(_xlfn.TEXTSPLIT(Table2[[#This Row],[Selection Options]:[Selection Options]],","))),,X$21),"")</f>
        <v/>
      </c>
      <c r="Y49" s="30" cm="1">
        <f t="array" ref="Y49">IF(Table2[[#This Row],[1]]="","",Table2[[#This Row],[Weight]:[Weight]]-(Table2[[#This Row],[Weight]:[Weight]]*((_xlfn.XMATCH(Table2[[#This Row],[1]],Table2[[#This Row],[1]:[11]],0))-1)/(COUNTA(Table2[[#This Row],[1]:[11]])-COUNTBLANK(Table2[[#This Row],[1]:[11]])-1)))</f>
        <v>9.7165991902834013E-3</v>
      </c>
      <c r="Z49" s="30" cm="1">
        <f t="array" ref="Z49">IF(Table2[[#This Row],[2]]="","",Table2[[#This Row],[Weight]:[Weight]]-(Table2[[#This Row],[Weight]:[Weight]]*((_xlfn.XMATCH(Table2[[#This Row],[2]],Table2[[#This Row],[1]:[11]],0))-1)/(COUNTA(Table2[[#This Row],[1]:[11]])-COUNTBLANK(Table2[[#This Row],[1]:[11]])-1)))</f>
        <v>4.8582995951417006E-3</v>
      </c>
      <c r="AA49" s="30" cm="1">
        <f t="array" ref="AA49">IF(Table2[[#This Row],[3]]="","",Table2[[#This Row],[Weight]:[Weight]]-(Table2[[#This Row],[Weight]:[Weight]]*((_xlfn.XMATCH(Table2[[#This Row],[3]],Table2[[#This Row],[1]:[11]],0))-1)/(COUNTA(Table2[[#This Row],[1]:[11]])-COUNTBLANK(Table2[[#This Row],[1]:[11]])-1)))</f>
        <v>0</v>
      </c>
      <c r="AB49" s="30" t="str" cm="1">
        <f t="array" ref="AB49">IF(Table2[[#This Row],[4]]="","",Table2[[#This Row],[Weight]:[Weight]]-(Table2[[#This Row],[Weight]:[Weight]]*((_xlfn.XMATCH(Table2[[#This Row],[4]],Table2[[#This Row],[1]:[11]],0))-1)/(COUNTA(Table2[[#This Row],[1]:[11]])-COUNTBLANK(Table2[[#This Row],[1]:[11]])-1)))</f>
        <v/>
      </c>
      <c r="AC49" s="30" t="str" cm="1">
        <f t="array" ref="AC49">IF(Table2[[#This Row],[5]]="","",Table2[[#This Row],[Weight]:[Weight]]-(Table2[[#This Row],[Weight]:[Weight]]*((_xlfn.XMATCH(Table2[[#This Row],[5]],Table2[[#This Row],[1]:[11]],0))-1)/(COUNTA(Table2[[#This Row],[1]:[11]])-COUNTBLANK(Table2[[#This Row],[1]:[11]])-1)))</f>
        <v/>
      </c>
      <c r="AD49" s="30" t="str" cm="1">
        <f t="array" ref="AD49">IF(Table2[[#This Row],[6]]="","",Table2[[#This Row],[Weight]:[Weight]]-(Table2[[#This Row],[Weight]:[Weight]]*((_xlfn.XMATCH(Table2[[#This Row],[6]],Table2[[#This Row],[1]:[11]],0))-1)/(COUNTA(Table2[[#This Row],[1]:[11]])-COUNTBLANK(Table2[[#This Row],[1]:[11]])-1)))</f>
        <v/>
      </c>
      <c r="AE49" s="30" t="str" cm="1">
        <f t="array" ref="AE49">IF(Table2[[#This Row],[7]]="","",Table2[[#This Row],[Weight]:[Weight]]-(Table2[[#This Row],[Weight]:[Weight]]*((_xlfn.XMATCH(Table2[[#This Row],[7]],Table2[[#This Row],[1]:[11]],0))-1)/(COUNTA(Table2[[#This Row],[1]:[11]])-COUNTBLANK(Table2[[#This Row],[1]:[11]])-1)))</f>
        <v/>
      </c>
      <c r="AF49" s="30" t="str" cm="1">
        <f t="array" ref="AF49">IF(Table2[[#This Row],[8]]="","",Table2[[#This Row],[Weight]:[Weight]]-(Table2[[#This Row],[Weight]:[Weight]]*((_xlfn.XMATCH(Table2[[#This Row],[8]],Table2[[#This Row],[1]:[11]],0))-1)/(COUNTA(Table2[[#This Row],[1]:[11]])-COUNTBLANK(Table2[[#This Row],[1]:[11]])-1)))</f>
        <v/>
      </c>
      <c r="AG49" s="41" t="str" cm="1">
        <f t="array" ref="AG49">IF(Table2[[#This Row],[9]]="","",Table2[[#This Row],[Weight]:[Weight]]-(Table2[[#This Row],[Weight]:[Weight]]*((_xlfn.XMATCH(Table2[[#This Row],[9]],Table2[[#This Row],[1]:[11]],0))-1)/(COUNTA(Table2[[#This Row],[1]:[11]])-COUNTBLANK(Table2[[#This Row],[1]:[11]])-1)))</f>
        <v/>
      </c>
      <c r="AH49" s="41" t="str" cm="1">
        <f t="array" ref="AH49">IF(Table2[[#This Row],[10]]="","",Table2[[#This Row],[Weight]:[Weight]]-(Table2[[#This Row],[Weight]:[Weight]]*((_xlfn.XMATCH(Table2[[#This Row],[10]],Table2[[#This Row],[1]:[11]],0))-1)/(COUNTA(Table2[[#This Row],[1]:[11]])-COUNTBLANK(Table2[[#This Row],[1]:[11]])-1)))</f>
        <v/>
      </c>
      <c r="AI49" s="41" t="str" cm="1">
        <f t="array" ref="AI49">IF(Table2[[#This Row],[11]]="","",Table2[[#This Row],[Weight]:[Weight]]-(Table2[[#This Row],[Weight]:[Weight]]*((_xlfn.XMATCH(Table2[[#This Row],[11]],Table2[[#This Row],[1]:[11]],0))-1)/(COUNTA(Table2[[#This Row],[1]:[11]])-COUNTBLANK(Table2[[#This Row],[1]:[11]])-1)))</f>
        <v/>
      </c>
    </row>
    <row r="50" spans="1:35" ht="72" x14ac:dyDescent="0.2">
      <c r="A50" s="117" t="s">
        <v>198</v>
      </c>
      <c r="B50" s="184" t="s">
        <v>199</v>
      </c>
      <c r="C50" s="204" t="s">
        <v>200</v>
      </c>
      <c r="D50" s="21"/>
      <c r="E50" s="21" t="s">
        <v>55</v>
      </c>
      <c r="F50" s="22" t="s">
        <v>106</v>
      </c>
      <c r="G50" s="23" cm="1">
        <f t="array" ref="G50">_xlfn.IFS(F50="","",F50="No interest",0,F50="Nice to have",1,F50="Useful",2,F50="Important",3,F50="Very important",4,F50="Critical",5,F50="Show stopper",6)</f>
        <v>5</v>
      </c>
      <c r="H50" s="24">
        <f t="shared" si="2"/>
        <v>8.0971659919028341E-3</v>
      </c>
      <c r="I50" s="25" t="s">
        <v>118</v>
      </c>
      <c r="J50" s="37" t="str" cm="1">
        <f t="array" ref="J50">_xlfn.TEXTJOIN(" "&amp;CHAR(10),,TEXT(SUBSTITUTE(Table2[[#This Row],[12]:[22]],".",","),"0,00%"))</f>
        <v>0,00809716599190283 
0,00404858299595142 
0,00%</v>
      </c>
      <c r="K50" s="26" t="s">
        <v>119</v>
      </c>
      <c r="L50" s="27">
        <f>H50-(H50*((MATCH(Table2[[#This Row],[Evaluators Response (SELECT)]],Table2[[#This Row],[1]:[11]],0)-1)/(COUNTA(Table2[[#This Row],[1]:[11]])-COUNTBLANK(Table2[[#This Row],[1]:[11]])-1)))</f>
        <v>8.0971659919028341E-3</v>
      </c>
      <c r="M50" s="28"/>
      <c r="N50" s="41" t="str" cm="1">
        <f t="array" ref="N50">IFERROR(INDEX(_xlfn.UNIQUE(TRIM(_xlfn.TEXTSPLIT(Table2[[#This Row],[Selection Options]:[Selection Options]],","))),,N$21),"")</f>
        <v>1. Extensive functionality available</v>
      </c>
      <c r="O50" s="29" t="str" cm="1">
        <f t="array" ref="O50">IFERROR(INDEX(_xlfn.UNIQUE(TRIM(_xlfn.TEXTSPLIT(Table2[[#This Row],[Selection Options]:[Selection Options]],","))),,O$21),"")</f>
        <v xml:space="preserve">
2. Limited functionality available</v>
      </c>
      <c r="P50" s="29" t="str" cm="1">
        <f t="array" ref="P50">IFERROR(INDEX(_xlfn.UNIQUE(TRIM(_xlfn.TEXTSPLIT(Table2[[#This Row],[Selection Options]:[Selection Options]],","))),,P$21),"")</f>
        <v xml:space="preserve">
3. Functionality not available</v>
      </c>
      <c r="Q50" s="29" t="str" cm="1">
        <f t="array" ref="Q50">IFERROR(INDEX(_xlfn.UNIQUE(TRIM(_xlfn.TEXTSPLIT(Table2[[#This Row],[Selection Options]:[Selection Options]],","))),,Q$21),"")</f>
        <v/>
      </c>
      <c r="R50" s="29" t="str" cm="1">
        <f t="array" ref="R50">IFERROR(INDEX(_xlfn.UNIQUE(TRIM(_xlfn.TEXTSPLIT(Table2[[#This Row],[Selection Options]:[Selection Options]],","))),,R$21),"")</f>
        <v/>
      </c>
      <c r="S50" s="29" t="str" cm="1">
        <f t="array" ref="S50">IFERROR(INDEX(_xlfn.UNIQUE(TRIM(_xlfn.TEXTSPLIT(Table2[[#This Row],[Selection Options]:[Selection Options]],","))),,S$21),"")</f>
        <v/>
      </c>
      <c r="T50" s="29" t="str" cm="1">
        <f t="array" ref="T50">IFERROR(INDEX(_xlfn.UNIQUE(TRIM(_xlfn.TEXTSPLIT(Table2[[#This Row],[Selection Options]:[Selection Options]],","))),,T$21),"")</f>
        <v/>
      </c>
      <c r="U50" s="29" t="str" cm="1">
        <f t="array" ref="U50">IFERROR(INDEX(_xlfn.UNIQUE(TRIM(_xlfn.TEXTSPLIT(Table2[[#This Row],[Selection Options]:[Selection Options]],","))),,U$21),"")</f>
        <v/>
      </c>
      <c r="V50" s="29" t="str" cm="1">
        <f t="array" ref="V50">IFERROR(INDEX(_xlfn.UNIQUE(TRIM(_xlfn.TEXTSPLIT(Table2[[#This Row],[Selection Options]:[Selection Options]],","))),,V$21),"")</f>
        <v/>
      </c>
      <c r="W50" s="29" t="str" cm="1">
        <f t="array" ref="W50">IFERROR(INDEX(_xlfn.UNIQUE(TRIM(_xlfn.TEXTSPLIT(Table2[[#This Row],[Selection Options]:[Selection Options]],","))),,W$21),"")</f>
        <v/>
      </c>
      <c r="X50" s="29" t="str" cm="1">
        <f t="array" ref="X50">IFERROR(INDEX(_xlfn.UNIQUE(TRIM(_xlfn.TEXTSPLIT(Table2[[#This Row],[Selection Options]:[Selection Options]],","))),,X$21),"")</f>
        <v/>
      </c>
      <c r="Y50" s="30" cm="1">
        <f t="array" ref="Y50">IF(Table2[[#This Row],[1]]="","",Table2[[#This Row],[Weight]:[Weight]]-(Table2[[#This Row],[Weight]:[Weight]]*((_xlfn.XMATCH(Table2[[#This Row],[1]],Table2[[#This Row],[1]:[11]],0))-1)/(COUNTA(Table2[[#This Row],[1]:[11]])-COUNTBLANK(Table2[[#This Row],[1]:[11]])-1)))</f>
        <v>8.0971659919028341E-3</v>
      </c>
      <c r="Z50" s="30" cm="1">
        <f t="array" ref="Z50">IF(Table2[[#This Row],[2]]="","",Table2[[#This Row],[Weight]:[Weight]]-(Table2[[#This Row],[Weight]:[Weight]]*((_xlfn.XMATCH(Table2[[#This Row],[2]],Table2[[#This Row],[1]:[11]],0))-1)/(COUNTA(Table2[[#This Row],[1]:[11]])-COUNTBLANK(Table2[[#This Row],[1]:[11]])-1)))</f>
        <v>4.048582995951417E-3</v>
      </c>
      <c r="AA50" s="30" cm="1">
        <f t="array" ref="AA50">IF(Table2[[#This Row],[3]]="","",Table2[[#This Row],[Weight]:[Weight]]-(Table2[[#This Row],[Weight]:[Weight]]*((_xlfn.XMATCH(Table2[[#This Row],[3]],Table2[[#This Row],[1]:[11]],0))-1)/(COUNTA(Table2[[#This Row],[1]:[11]])-COUNTBLANK(Table2[[#This Row],[1]:[11]])-1)))</f>
        <v>0</v>
      </c>
      <c r="AB50" s="30" t="str" cm="1">
        <f t="array" ref="AB50">IF(Table2[[#This Row],[4]]="","",Table2[[#This Row],[Weight]:[Weight]]-(Table2[[#This Row],[Weight]:[Weight]]*((_xlfn.XMATCH(Table2[[#This Row],[4]],Table2[[#This Row],[1]:[11]],0))-1)/(COUNTA(Table2[[#This Row],[1]:[11]])-COUNTBLANK(Table2[[#This Row],[1]:[11]])-1)))</f>
        <v/>
      </c>
      <c r="AC50" s="30" t="str" cm="1">
        <f t="array" ref="AC50">IF(Table2[[#This Row],[5]]="","",Table2[[#This Row],[Weight]:[Weight]]-(Table2[[#This Row],[Weight]:[Weight]]*((_xlfn.XMATCH(Table2[[#This Row],[5]],Table2[[#This Row],[1]:[11]],0))-1)/(COUNTA(Table2[[#This Row],[1]:[11]])-COUNTBLANK(Table2[[#This Row],[1]:[11]])-1)))</f>
        <v/>
      </c>
      <c r="AD50" s="30" t="str" cm="1">
        <f t="array" ref="AD50">IF(Table2[[#This Row],[6]]="","",Table2[[#This Row],[Weight]:[Weight]]-(Table2[[#This Row],[Weight]:[Weight]]*((_xlfn.XMATCH(Table2[[#This Row],[6]],Table2[[#This Row],[1]:[11]],0))-1)/(COUNTA(Table2[[#This Row],[1]:[11]])-COUNTBLANK(Table2[[#This Row],[1]:[11]])-1)))</f>
        <v/>
      </c>
      <c r="AE50" s="30" t="str" cm="1">
        <f t="array" ref="AE50">IF(Table2[[#This Row],[7]]="","",Table2[[#This Row],[Weight]:[Weight]]-(Table2[[#This Row],[Weight]:[Weight]]*((_xlfn.XMATCH(Table2[[#This Row],[7]],Table2[[#This Row],[1]:[11]],0))-1)/(COUNTA(Table2[[#This Row],[1]:[11]])-COUNTBLANK(Table2[[#This Row],[1]:[11]])-1)))</f>
        <v/>
      </c>
      <c r="AF50" s="30" t="str" cm="1">
        <f t="array" ref="AF50">IF(Table2[[#This Row],[8]]="","",Table2[[#This Row],[Weight]:[Weight]]-(Table2[[#This Row],[Weight]:[Weight]]*((_xlfn.XMATCH(Table2[[#This Row],[8]],Table2[[#This Row],[1]:[11]],0))-1)/(COUNTA(Table2[[#This Row],[1]:[11]])-COUNTBLANK(Table2[[#This Row],[1]:[11]])-1)))</f>
        <v/>
      </c>
      <c r="AG50" s="41" t="str" cm="1">
        <f t="array" ref="AG50">IF(Table2[[#This Row],[9]]="","",Table2[[#This Row],[Weight]:[Weight]]-(Table2[[#This Row],[Weight]:[Weight]]*((_xlfn.XMATCH(Table2[[#This Row],[9]],Table2[[#This Row],[1]:[11]],0))-1)/(COUNTA(Table2[[#This Row],[1]:[11]])-COUNTBLANK(Table2[[#This Row],[1]:[11]])-1)))</f>
        <v/>
      </c>
      <c r="AH50" s="41" t="str" cm="1">
        <f t="array" ref="AH50">IF(Table2[[#This Row],[10]]="","",Table2[[#This Row],[Weight]:[Weight]]-(Table2[[#This Row],[Weight]:[Weight]]*((_xlfn.XMATCH(Table2[[#This Row],[10]],Table2[[#This Row],[1]:[11]],0))-1)/(COUNTA(Table2[[#This Row],[1]:[11]])-COUNTBLANK(Table2[[#This Row],[1]:[11]])-1)))</f>
        <v/>
      </c>
      <c r="AI50" s="41" t="str" cm="1">
        <f t="array" ref="AI50">IF(Table2[[#This Row],[11]]="","",Table2[[#This Row],[Weight]:[Weight]]-(Table2[[#This Row],[Weight]:[Weight]]*((_xlfn.XMATCH(Table2[[#This Row],[11]],Table2[[#This Row],[1]:[11]],0))-1)/(COUNTA(Table2[[#This Row],[1]:[11]])-COUNTBLANK(Table2[[#This Row],[1]:[11]])-1)))</f>
        <v/>
      </c>
    </row>
    <row r="51" spans="1:35" ht="72" x14ac:dyDescent="0.2">
      <c r="A51" s="117" t="s">
        <v>201</v>
      </c>
      <c r="B51" s="184" t="s">
        <v>202</v>
      </c>
      <c r="C51" s="204" t="s">
        <v>203</v>
      </c>
      <c r="D51" s="21"/>
      <c r="E51" s="21" t="s">
        <v>55</v>
      </c>
      <c r="F51" s="22" t="s">
        <v>106</v>
      </c>
      <c r="G51" s="23" cm="1">
        <f t="array" ref="G51">_xlfn.IFS(F51="","",F51="No interest",0,F51="Nice to have",1,F51="Useful",2,F51="Important",3,F51="Very important",4,F51="Critical",5,F51="Show stopper",6)</f>
        <v>5</v>
      </c>
      <c r="H51" s="24">
        <f t="shared" si="2"/>
        <v>8.0971659919028341E-3</v>
      </c>
      <c r="I51" s="25" t="s">
        <v>118</v>
      </c>
      <c r="J51" s="37" t="str" cm="1">
        <f t="array" ref="J51">_xlfn.TEXTJOIN(" "&amp;CHAR(10),,TEXT(SUBSTITUTE(Table2[[#This Row],[12]:[22]],".",","),"0,00%"))</f>
        <v>0,00809716599190283 
0,00404858299595142 
0,00%</v>
      </c>
      <c r="K51" s="26" t="s">
        <v>119</v>
      </c>
      <c r="L51" s="27">
        <f>H51-(H51*((MATCH(Table2[[#This Row],[Evaluators Response (SELECT)]],Table2[[#This Row],[1]:[11]],0)-1)/(COUNTA(Table2[[#This Row],[1]:[11]])-COUNTBLANK(Table2[[#This Row],[1]:[11]])-1)))</f>
        <v>8.0971659919028341E-3</v>
      </c>
      <c r="M51" s="28"/>
      <c r="N51" s="41" t="str" cm="1">
        <f t="array" ref="N51">IFERROR(INDEX(_xlfn.UNIQUE(TRIM(_xlfn.TEXTSPLIT(Table2[[#This Row],[Selection Options]:[Selection Options]],","))),,N$21),"")</f>
        <v>1. Extensive functionality available</v>
      </c>
      <c r="O51" s="29" t="str" cm="1">
        <f t="array" ref="O51">IFERROR(INDEX(_xlfn.UNIQUE(TRIM(_xlfn.TEXTSPLIT(Table2[[#This Row],[Selection Options]:[Selection Options]],","))),,O$21),"")</f>
        <v xml:space="preserve">
2. Limited functionality available</v>
      </c>
      <c r="P51" s="29" t="str" cm="1">
        <f t="array" ref="P51">IFERROR(INDEX(_xlfn.UNIQUE(TRIM(_xlfn.TEXTSPLIT(Table2[[#This Row],[Selection Options]:[Selection Options]],","))),,P$21),"")</f>
        <v xml:space="preserve">
3. Functionality not available</v>
      </c>
      <c r="Q51" s="29" t="str" cm="1">
        <f t="array" ref="Q51">IFERROR(INDEX(_xlfn.UNIQUE(TRIM(_xlfn.TEXTSPLIT(Table2[[#This Row],[Selection Options]:[Selection Options]],","))),,Q$21),"")</f>
        <v/>
      </c>
      <c r="R51" s="29" t="str" cm="1">
        <f t="array" ref="R51">IFERROR(INDEX(_xlfn.UNIQUE(TRIM(_xlfn.TEXTSPLIT(Table2[[#This Row],[Selection Options]:[Selection Options]],","))),,R$21),"")</f>
        <v/>
      </c>
      <c r="S51" s="29" t="str" cm="1">
        <f t="array" ref="S51">IFERROR(INDEX(_xlfn.UNIQUE(TRIM(_xlfn.TEXTSPLIT(Table2[[#This Row],[Selection Options]:[Selection Options]],","))),,S$21),"")</f>
        <v/>
      </c>
      <c r="T51" s="29" t="str" cm="1">
        <f t="array" ref="T51">IFERROR(INDEX(_xlfn.UNIQUE(TRIM(_xlfn.TEXTSPLIT(Table2[[#This Row],[Selection Options]:[Selection Options]],","))),,T$21),"")</f>
        <v/>
      </c>
      <c r="U51" s="29" t="str" cm="1">
        <f t="array" ref="U51">IFERROR(INDEX(_xlfn.UNIQUE(TRIM(_xlfn.TEXTSPLIT(Table2[[#This Row],[Selection Options]:[Selection Options]],","))),,U$21),"")</f>
        <v/>
      </c>
      <c r="V51" s="29" t="str" cm="1">
        <f t="array" ref="V51">IFERROR(INDEX(_xlfn.UNIQUE(TRIM(_xlfn.TEXTSPLIT(Table2[[#This Row],[Selection Options]:[Selection Options]],","))),,V$21),"")</f>
        <v/>
      </c>
      <c r="W51" s="29" t="str" cm="1">
        <f t="array" ref="W51">IFERROR(INDEX(_xlfn.UNIQUE(TRIM(_xlfn.TEXTSPLIT(Table2[[#This Row],[Selection Options]:[Selection Options]],","))),,W$21),"")</f>
        <v/>
      </c>
      <c r="X51" s="29" t="str" cm="1">
        <f t="array" ref="X51">IFERROR(INDEX(_xlfn.UNIQUE(TRIM(_xlfn.TEXTSPLIT(Table2[[#This Row],[Selection Options]:[Selection Options]],","))),,X$21),"")</f>
        <v/>
      </c>
      <c r="Y51" s="30" cm="1">
        <f t="array" ref="Y51">IF(Table2[[#This Row],[1]]="","",Table2[[#This Row],[Weight]:[Weight]]-(Table2[[#This Row],[Weight]:[Weight]]*((_xlfn.XMATCH(Table2[[#This Row],[1]],Table2[[#This Row],[1]:[11]],0))-1)/(COUNTA(Table2[[#This Row],[1]:[11]])-COUNTBLANK(Table2[[#This Row],[1]:[11]])-1)))</f>
        <v>8.0971659919028341E-3</v>
      </c>
      <c r="Z51" s="30" cm="1">
        <f t="array" ref="Z51">IF(Table2[[#This Row],[2]]="","",Table2[[#This Row],[Weight]:[Weight]]-(Table2[[#This Row],[Weight]:[Weight]]*((_xlfn.XMATCH(Table2[[#This Row],[2]],Table2[[#This Row],[1]:[11]],0))-1)/(COUNTA(Table2[[#This Row],[1]:[11]])-COUNTBLANK(Table2[[#This Row],[1]:[11]])-1)))</f>
        <v>4.048582995951417E-3</v>
      </c>
      <c r="AA51" s="30" cm="1">
        <f t="array" ref="AA51">IF(Table2[[#This Row],[3]]="","",Table2[[#This Row],[Weight]:[Weight]]-(Table2[[#This Row],[Weight]:[Weight]]*((_xlfn.XMATCH(Table2[[#This Row],[3]],Table2[[#This Row],[1]:[11]],0))-1)/(COUNTA(Table2[[#This Row],[1]:[11]])-COUNTBLANK(Table2[[#This Row],[1]:[11]])-1)))</f>
        <v>0</v>
      </c>
      <c r="AB51" s="30" t="str" cm="1">
        <f t="array" ref="AB51">IF(Table2[[#This Row],[4]]="","",Table2[[#This Row],[Weight]:[Weight]]-(Table2[[#This Row],[Weight]:[Weight]]*((_xlfn.XMATCH(Table2[[#This Row],[4]],Table2[[#This Row],[1]:[11]],0))-1)/(COUNTA(Table2[[#This Row],[1]:[11]])-COUNTBLANK(Table2[[#This Row],[1]:[11]])-1)))</f>
        <v/>
      </c>
      <c r="AC51" s="30" t="str" cm="1">
        <f t="array" ref="AC51">IF(Table2[[#This Row],[5]]="","",Table2[[#This Row],[Weight]:[Weight]]-(Table2[[#This Row],[Weight]:[Weight]]*((_xlfn.XMATCH(Table2[[#This Row],[5]],Table2[[#This Row],[1]:[11]],0))-1)/(COUNTA(Table2[[#This Row],[1]:[11]])-COUNTBLANK(Table2[[#This Row],[1]:[11]])-1)))</f>
        <v/>
      </c>
      <c r="AD51" s="30" t="str" cm="1">
        <f t="array" ref="AD51">IF(Table2[[#This Row],[6]]="","",Table2[[#This Row],[Weight]:[Weight]]-(Table2[[#This Row],[Weight]:[Weight]]*((_xlfn.XMATCH(Table2[[#This Row],[6]],Table2[[#This Row],[1]:[11]],0))-1)/(COUNTA(Table2[[#This Row],[1]:[11]])-COUNTBLANK(Table2[[#This Row],[1]:[11]])-1)))</f>
        <v/>
      </c>
      <c r="AE51" s="30" t="str" cm="1">
        <f t="array" ref="AE51">IF(Table2[[#This Row],[7]]="","",Table2[[#This Row],[Weight]:[Weight]]-(Table2[[#This Row],[Weight]:[Weight]]*((_xlfn.XMATCH(Table2[[#This Row],[7]],Table2[[#This Row],[1]:[11]],0))-1)/(COUNTA(Table2[[#This Row],[1]:[11]])-COUNTBLANK(Table2[[#This Row],[1]:[11]])-1)))</f>
        <v/>
      </c>
      <c r="AF51" s="30" t="str" cm="1">
        <f t="array" ref="AF51">IF(Table2[[#This Row],[8]]="","",Table2[[#This Row],[Weight]:[Weight]]-(Table2[[#This Row],[Weight]:[Weight]]*((_xlfn.XMATCH(Table2[[#This Row],[8]],Table2[[#This Row],[1]:[11]],0))-1)/(COUNTA(Table2[[#This Row],[1]:[11]])-COUNTBLANK(Table2[[#This Row],[1]:[11]])-1)))</f>
        <v/>
      </c>
      <c r="AG51" s="41" t="str" cm="1">
        <f t="array" ref="AG51">IF(Table2[[#This Row],[9]]="","",Table2[[#This Row],[Weight]:[Weight]]-(Table2[[#This Row],[Weight]:[Weight]]*((_xlfn.XMATCH(Table2[[#This Row],[9]],Table2[[#This Row],[1]:[11]],0))-1)/(COUNTA(Table2[[#This Row],[1]:[11]])-COUNTBLANK(Table2[[#This Row],[1]:[11]])-1)))</f>
        <v/>
      </c>
      <c r="AH51" s="41" t="str" cm="1">
        <f t="array" ref="AH51">IF(Table2[[#This Row],[10]]="","",Table2[[#This Row],[Weight]:[Weight]]-(Table2[[#This Row],[Weight]:[Weight]]*((_xlfn.XMATCH(Table2[[#This Row],[10]],Table2[[#This Row],[1]:[11]],0))-1)/(COUNTA(Table2[[#This Row],[1]:[11]])-COUNTBLANK(Table2[[#This Row],[1]:[11]])-1)))</f>
        <v/>
      </c>
      <c r="AI51" s="41" t="str" cm="1">
        <f t="array" ref="AI51">IF(Table2[[#This Row],[11]]="","",Table2[[#This Row],[Weight]:[Weight]]-(Table2[[#This Row],[Weight]:[Weight]]*((_xlfn.XMATCH(Table2[[#This Row],[11]],Table2[[#This Row],[1]:[11]],0))-1)/(COUNTA(Table2[[#This Row],[1]:[11]])-COUNTBLANK(Table2[[#This Row],[1]:[11]])-1)))</f>
        <v/>
      </c>
    </row>
    <row r="52" spans="1:35" ht="72" x14ac:dyDescent="0.2">
      <c r="A52" s="117" t="s">
        <v>204</v>
      </c>
      <c r="B52" s="184" t="s">
        <v>205</v>
      </c>
      <c r="C52" s="204" t="s">
        <v>206</v>
      </c>
      <c r="D52" s="21"/>
      <c r="E52" s="21" t="s">
        <v>55</v>
      </c>
      <c r="F52" s="22" t="s">
        <v>106</v>
      </c>
      <c r="G52" s="23" cm="1">
        <f t="array" ref="G52">_xlfn.IFS(F52="","",F52="No interest",0,F52="Nice to have",1,F52="Useful",2,F52="Important",3,F52="Very important",4,F52="Critical",5,F52="Show stopper",6)</f>
        <v>5</v>
      </c>
      <c r="H52" s="24">
        <f t="shared" si="2"/>
        <v>8.0971659919028341E-3</v>
      </c>
      <c r="I52" s="25" t="s">
        <v>118</v>
      </c>
      <c r="J52" s="37" t="str" cm="1">
        <f t="array" ref="J52">_xlfn.TEXTJOIN(" "&amp;CHAR(10),,TEXT(SUBSTITUTE(Table2[[#This Row],[12]:[22]],".",","),"0,00%"))</f>
        <v>0,00809716599190283 
0,00404858299595142 
0,00%</v>
      </c>
      <c r="K52" s="26" t="s">
        <v>119</v>
      </c>
      <c r="L52" s="27">
        <f>H52-(H52*((MATCH(Table2[[#This Row],[Evaluators Response (SELECT)]],Table2[[#This Row],[1]:[11]],0)-1)/(COUNTA(Table2[[#This Row],[1]:[11]])-COUNTBLANK(Table2[[#This Row],[1]:[11]])-1)))</f>
        <v>8.0971659919028341E-3</v>
      </c>
      <c r="M52" s="28"/>
      <c r="N52" s="41" t="str" cm="1">
        <f t="array" ref="N52">IFERROR(INDEX(_xlfn.UNIQUE(TRIM(_xlfn.TEXTSPLIT(Table2[[#This Row],[Selection Options]:[Selection Options]],","))),,N$21),"")</f>
        <v>1. Extensive functionality available</v>
      </c>
      <c r="O52" s="29" t="str" cm="1">
        <f t="array" ref="O52">IFERROR(INDEX(_xlfn.UNIQUE(TRIM(_xlfn.TEXTSPLIT(Table2[[#This Row],[Selection Options]:[Selection Options]],","))),,O$21),"")</f>
        <v xml:space="preserve">
2. Limited functionality available</v>
      </c>
      <c r="P52" s="29" t="str" cm="1">
        <f t="array" ref="P52">IFERROR(INDEX(_xlfn.UNIQUE(TRIM(_xlfn.TEXTSPLIT(Table2[[#This Row],[Selection Options]:[Selection Options]],","))),,P$21),"")</f>
        <v xml:space="preserve">
3. Functionality not available</v>
      </c>
      <c r="Q52" s="29" t="str" cm="1">
        <f t="array" ref="Q52">IFERROR(INDEX(_xlfn.UNIQUE(TRIM(_xlfn.TEXTSPLIT(Table2[[#This Row],[Selection Options]:[Selection Options]],","))),,Q$21),"")</f>
        <v/>
      </c>
      <c r="R52" s="29" t="str" cm="1">
        <f t="array" ref="R52">IFERROR(INDEX(_xlfn.UNIQUE(TRIM(_xlfn.TEXTSPLIT(Table2[[#This Row],[Selection Options]:[Selection Options]],","))),,R$21),"")</f>
        <v/>
      </c>
      <c r="S52" s="29" t="str" cm="1">
        <f t="array" ref="S52">IFERROR(INDEX(_xlfn.UNIQUE(TRIM(_xlfn.TEXTSPLIT(Table2[[#This Row],[Selection Options]:[Selection Options]],","))),,S$21),"")</f>
        <v/>
      </c>
      <c r="T52" s="29" t="str" cm="1">
        <f t="array" ref="T52">IFERROR(INDEX(_xlfn.UNIQUE(TRIM(_xlfn.TEXTSPLIT(Table2[[#This Row],[Selection Options]:[Selection Options]],","))),,T$21),"")</f>
        <v/>
      </c>
      <c r="U52" s="29" t="str" cm="1">
        <f t="array" ref="U52">IFERROR(INDEX(_xlfn.UNIQUE(TRIM(_xlfn.TEXTSPLIT(Table2[[#This Row],[Selection Options]:[Selection Options]],","))),,U$21),"")</f>
        <v/>
      </c>
      <c r="V52" s="29" t="str" cm="1">
        <f t="array" ref="V52">IFERROR(INDEX(_xlfn.UNIQUE(TRIM(_xlfn.TEXTSPLIT(Table2[[#This Row],[Selection Options]:[Selection Options]],","))),,V$21),"")</f>
        <v/>
      </c>
      <c r="W52" s="29" t="str" cm="1">
        <f t="array" ref="W52">IFERROR(INDEX(_xlfn.UNIQUE(TRIM(_xlfn.TEXTSPLIT(Table2[[#This Row],[Selection Options]:[Selection Options]],","))),,W$21),"")</f>
        <v/>
      </c>
      <c r="X52" s="29" t="str" cm="1">
        <f t="array" ref="X52">IFERROR(INDEX(_xlfn.UNIQUE(TRIM(_xlfn.TEXTSPLIT(Table2[[#This Row],[Selection Options]:[Selection Options]],","))),,X$21),"")</f>
        <v/>
      </c>
      <c r="Y52" s="30" cm="1">
        <f t="array" ref="Y52">IF(Table2[[#This Row],[1]]="","",Table2[[#This Row],[Weight]:[Weight]]-(Table2[[#This Row],[Weight]:[Weight]]*((_xlfn.XMATCH(Table2[[#This Row],[1]],Table2[[#This Row],[1]:[11]],0))-1)/(COUNTA(Table2[[#This Row],[1]:[11]])-COUNTBLANK(Table2[[#This Row],[1]:[11]])-1)))</f>
        <v>8.0971659919028341E-3</v>
      </c>
      <c r="Z52" s="30" cm="1">
        <f t="array" ref="Z52">IF(Table2[[#This Row],[2]]="","",Table2[[#This Row],[Weight]:[Weight]]-(Table2[[#This Row],[Weight]:[Weight]]*((_xlfn.XMATCH(Table2[[#This Row],[2]],Table2[[#This Row],[1]:[11]],0))-1)/(COUNTA(Table2[[#This Row],[1]:[11]])-COUNTBLANK(Table2[[#This Row],[1]:[11]])-1)))</f>
        <v>4.048582995951417E-3</v>
      </c>
      <c r="AA52" s="30" cm="1">
        <f t="array" ref="AA52">IF(Table2[[#This Row],[3]]="","",Table2[[#This Row],[Weight]:[Weight]]-(Table2[[#This Row],[Weight]:[Weight]]*((_xlfn.XMATCH(Table2[[#This Row],[3]],Table2[[#This Row],[1]:[11]],0))-1)/(COUNTA(Table2[[#This Row],[1]:[11]])-COUNTBLANK(Table2[[#This Row],[1]:[11]])-1)))</f>
        <v>0</v>
      </c>
      <c r="AB52" s="30" t="str" cm="1">
        <f t="array" ref="AB52">IF(Table2[[#This Row],[4]]="","",Table2[[#This Row],[Weight]:[Weight]]-(Table2[[#This Row],[Weight]:[Weight]]*((_xlfn.XMATCH(Table2[[#This Row],[4]],Table2[[#This Row],[1]:[11]],0))-1)/(COUNTA(Table2[[#This Row],[1]:[11]])-COUNTBLANK(Table2[[#This Row],[1]:[11]])-1)))</f>
        <v/>
      </c>
      <c r="AC52" s="30" t="str" cm="1">
        <f t="array" ref="AC52">IF(Table2[[#This Row],[5]]="","",Table2[[#This Row],[Weight]:[Weight]]-(Table2[[#This Row],[Weight]:[Weight]]*((_xlfn.XMATCH(Table2[[#This Row],[5]],Table2[[#This Row],[1]:[11]],0))-1)/(COUNTA(Table2[[#This Row],[1]:[11]])-COUNTBLANK(Table2[[#This Row],[1]:[11]])-1)))</f>
        <v/>
      </c>
      <c r="AD52" s="30" t="str" cm="1">
        <f t="array" ref="AD52">IF(Table2[[#This Row],[6]]="","",Table2[[#This Row],[Weight]:[Weight]]-(Table2[[#This Row],[Weight]:[Weight]]*((_xlfn.XMATCH(Table2[[#This Row],[6]],Table2[[#This Row],[1]:[11]],0))-1)/(COUNTA(Table2[[#This Row],[1]:[11]])-COUNTBLANK(Table2[[#This Row],[1]:[11]])-1)))</f>
        <v/>
      </c>
      <c r="AE52" s="30" t="str" cm="1">
        <f t="array" ref="AE52">IF(Table2[[#This Row],[7]]="","",Table2[[#This Row],[Weight]:[Weight]]-(Table2[[#This Row],[Weight]:[Weight]]*((_xlfn.XMATCH(Table2[[#This Row],[7]],Table2[[#This Row],[1]:[11]],0))-1)/(COUNTA(Table2[[#This Row],[1]:[11]])-COUNTBLANK(Table2[[#This Row],[1]:[11]])-1)))</f>
        <v/>
      </c>
      <c r="AF52" s="30" t="str" cm="1">
        <f t="array" ref="AF52">IF(Table2[[#This Row],[8]]="","",Table2[[#This Row],[Weight]:[Weight]]-(Table2[[#This Row],[Weight]:[Weight]]*((_xlfn.XMATCH(Table2[[#This Row],[8]],Table2[[#This Row],[1]:[11]],0))-1)/(COUNTA(Table2[[#This Row],[1]:[11]])-COUNTBLANK(Table2[[#This Row],[1]:[11]])-1)))</f>
        <v/>
      </c>
      <c r="AG52" s="41" t="str" cm="1">
        <f t="array" ref="AG52">IF(Table2[[#This Row],[9]]="","",Table2[[#This Row],[Weight]:[Weight]]-(Table2[[#This Row],[Weight]:[Weight]]*((_xlfn.XMATCH(Table2[[#This Row],[9]],Table2[[#This Row],[1]:[11]],0))-1)/(COUNTA(Table2[[#This Row],[1]:[11]])-COUNTBLANK(Table2[[#This Row],[1]:[11]])-1)))</f>
        <v/>
      </c>
      <c r="AH52" s="41" t="str" cm="1">
        <f t="array" ref="AH52">IF(Table2[[#This Row],[10]]="","",Table2[[#This Row],[Weight]:[Weight]]-(Table2[[#This Row],[Weight]:[Weight]]*((_xlfn.XMATCH(Table2[[#This Row],[10]],Table2[[#This Row],[1]:[11]],0))-1)/(COUNTA(Table2[[#This Row],[1]:[11]])-COUNTBLANK(Table2[[#This Row],[1]:[11]])-1)))</f>
        <v/>
      </c>
      <c r="AI52" s="41" t="str" cm="1">
        <f t="array" ref="AI52">IF(Table2[[#This Row],[11]]="","",Table2[[#This Row],[Weight]:[Weight]]-(Table2[[#This Row],[Weight]:[Weight]]*((_xlfn.XMATCH(Table2[[#This Row],[11]],Table2[[#This Row],[1]:[11]],0))-1)/(COUNTA(Table2[[#This Row],[1]:[11]])-COUNTBLANK(Table2[[#This Row],[1]:[11]])-1)))</f>
        <v/>
      </c>
    </row>
    <row r="53" spans="1:35" ht="72" x14ac:dyDescent="0.2">
      <c r="A53" s="117" t="s">
        <v>207</v>
      </c>
      <c r="B53" s="184" t="s">
        <v>208</v>
      </c>
      <c r="C53" s="204" t="s">
        <v>209</v>
      </c>
      <c r="D53" s="21"/>
      <c r="E53" s="21" t="s">
        <v>55</v>
      </c>
      <c r="F53" s="22" t="s">
        <v>106</v>
      </c>
      <c r="G53" s="23" cm="1">
        <f t="array" ref="G53">_xlfn.IFS(F53="","",F53="No interest",0,F53="Nice to have",1,F53="Useful",2,F53="Important",3,F53="Very important",4,F53="Critical",5,F53="Show stopper",6)</f>
        <v>5</v>
      </c>
      <c r="H53" s="24">
        <f t="shared" si="2"/>
        <v>8.0971659919028341E-3</v>
      </c>
      <c r="I53" s="25" t="s">
        <v>118</v>
      </c>
      <c r="J53" s="37" t="str" cm="1">
        <f t="array" ref="J53">_xlfn.TEXTJOIN(" "&amp;CHAR(10),,TEXT(SUBSTITUTE(Table2[[#This Row],[12]:[22]],".",","),"0,00%"))</f>
        <v>0,00809716599190283 
0,00404858299595142 
0,00%</v>
      </c>
      <c r="K53" s="26" t="s">
        <v>119</v>
      </c>
      <c r="L53" s="27">
        <f>H53-(H53*((MATCH(Table2[[#This Row],[Evaluators Response (SELECT)]],Table2[[#This Row],[1]:[11]],0)-1)/(COUNTA(Table2[[#This Row],[1]:[11]])-COUNTBLANK(Table2[[#This Row],[1]:[11]])-1)))</f>
        <v>8.0971659919028341E-3</v>
      </c>
      <c r="M53" s="28"/>
      <c r="N53" s="41" t="str" cm="1">
        <f t="array" ref="N53">IFERROR(INDEX(_xlfn.UNIQUE(TRIM(_xlfn.TEXTSPLIT(Table2[[#This Row],[Selection Options]:[Selection Options]],","))),,N$21),"")</f>
        <v>1. Extensive functionality available</v>
      </c>
      <c r="O53" s="29" t="str" cm="1">
        <f t="array" ref="O53">IFERROR(INDEX(_xlfn.UNIQUE(TRIM(_xlfn.TEXTSPLIT(Table2[[#This Row],[Selection Options]:[Selection Options]],","))),,O$21),"")</f>
        <v xml:space="preserve">
2. Limited functionality available</v>
      </c>
      <c r="P53" s="29" t="str" cm="1">
        <f t="array" ref="P53">IFERROR(INDEX(_xlfn.UNIQUE(TRIM(_xlfn.TEXTSPLIT(Table2[[#This Row],[Selection Options]:[Selection Options]],","))),,P$21),"")</f>
        <v xml:space="preserve">
3. Functionality not available</v>
      </c>
      <c r="Q53" s="29" t="str" cm="1">
        <f t="array" ref="Q53">IFERROR(INDEX(_xlfn.UNIQUE(TRIM(_xlfn.TEXTSPLIT(Table2[[#This Row],[Selection Options]:[Selection Options]],","))),,Q$21),"")</f>
        <v/>
      </c>
      <c r="R53" s="29" t="str" cm="1">
        <f t="array" ref="R53">IFERROR(INDEX(_xlfn.UNIQUE(TRIM(_xlfn.TEXTSPLIT(Table2[[#This Row],[Selection Options]:[Selection Options]],","))),,R$21),"")</f>
        <v/>
      </c>
      <c r="S53" s="29" t="str" cm="1">
        <f t="array" ref="S53">IFERROR(INDEX(_xlfn.UNIQUE(TRIM(_xlfn.TEXTSPLIT(Table2[[#This Row],[Selection Options]:[Selection Options]],","))),,S$21),"")</f>
        <v/>
      </c>
      <c r="T53" s="29" t="str" cm="1">
        <f t="array" ref="T53">IFERROR(INDEX(_xlfn.UNIQUE(TRIM(_xlfn.TEXTSPLIT(Table2[[#This Row],[Selection Options]:[Selection Options]],","))),,T$21),"")</f>
        <v/>
      </c>
      <c r="U53" s="29" t="str" cm="1">
        <f t="array" ref="U53">IFERROR(INDEX(_xlfn.UNIQUE(TRIM(_xlfn.TEXTSPLIT(Table2[[#This Row],[Selection Options]:[Selection Options]],","))),,U$21),"")</f>
        <v/>
      </c>
      <c r="V53" s="29" t="str" cm="1">
        <f t="array" ref="V53">IFERROR(INDEX(_xlfn.UNIQUE(TRIM(_xlfn.TEXTSPLIT(Table2[[#This Row],[Selection Options]:[Selection Options]],","))),,V$21),"")</f>
        <v/>
      </c>
      <c r="W53" s="29" t="str" cm="1">
        <f t="array" ref="W53">IFERROR(INDEX(_xlfn.UNIQUE(TRIM(_xlfn.TEXTSPLIT(Table2[[#This Row],[Selection Options]:[Selection Options]],","))),,W$21),"")</f>
        <v/>
      </c>
      <c r="X53" s="29" t="str" cm="1">
        <f t="array" ref="X53">IFERROR(INDEX(_xlfn.UNIQUE(TRIM(_xlfn.TEXTSPLIT(Table2[[#This Row],[Selection Options]:[Selection Options]],","))),,X$21),"")</f>
        <v/>
      </c>
      <c r="Y53" s="30" cm="1">
        <f t="array" ref="Y53">IF(Table2[[#This Row],[1]]="","",Table2[[#This Row],[Weight]:[Weight]]-(Table2[[#This Row],[Weight]:[Weight]]*((_xlfn.XMATCH(Table2[[#This Row],[1]],Table2[[#This Row],[1]:[11]],0))-1)/(COUNTA(Table2[[#This Row],[1]:[11]])-COUNTBLANK(Table2[[#This Row],[1]:[11]])-1)))</f>
        <v>8.0971659919028341E-3</v>
      </c>
      <c r="Z53" s="30" cm="1">
        <f t="array" ref="Z53">IF(Table2[[#This Row],[2]]="","",Table2[[#This Row],[Weight]:[Weight]]-(Table2[[#This Row],[Weight]:[Weight]]*((_xlfn.XMATCH(Table2[[#This Row],[2]],Table2[[#This Row],[1]:[11]],0))-1)/(COUNTA(Table2[[#This Row],[1]:[11]])-COUNTBLANK(Table2[[#This Row],[1]:[11]])-1)))</f>
        <v>4.048582995951417E-3</v>
      </c>
      <c r="AA53" s="30" cm="1">
        <f t="array" ref="AA53">IF(Table2[[#This Row],[3]]="","",Table2[[#This Row],[Weight]:[Weight]]-(Table2[[#This Row],[Weight]:[Weight]]*((_xlfn.XMATCH(Table2[[#This Row],[3]],Table2[[#This Row],[1]:[11]],0))-1)/(COUNTA(Table2[[#This Row],[1]:[11]])-COUNTBLANK(Table2[[#This Row],[1]:[11]])-1)))</f>
        <v>0</v>
      </c>
      <c r="AB53" s="30" t="str" cm="1">
        <f t="array" ref="AB53">IF(Table2[[#This Row],[4]]="","",Table2[[#This Row],[Weight]:[Weight]]-(Table2[[#This Row],[Weight]:[Weight]]*((_xlfn.XMATCH(Table2[[#This Row],[4]],Table2[[#This Row],[1]:[11]],0))-1)/(COUNTA(Table2[[#This Row],[1]:[11]])-COUNTBLANK(Table2[[#This Row],[1]:[11]])-1)))</f>
        <v/>
      </c>
      <c r="AC53" s="30" t="str" cm="1">
        <f t="array" ref="AC53">IF(Table2[[#This Row],[5]]="","",Table2[[#This Row],[Weight]:[Weight]]-(Table2[[#This Row],[Weight]:[Weight]]*((_xlfn.XMATCH(Table2[[#This Row],[5]],Table2[[#This Row],[1]:[11]],0))-1)/(COUNTA(Table2[[#This Row],[1]:[11]])-COUNTBLANK(Table2[[#This Row],[1]:[11]])-1)))</f>
        <v/>
      </c>
      <c r="AD53" s="30" t="str" cm="1">
        <f t="array" ref="AD53">IF(Table2[[#This Row],[6]]="","",Table2[[#This Row],[Weight]:[Weight]]-(Table2[[#This Row],[Weight]:[Weight]]*((_xlfn.XMATCH(Table2[[#This Row],[6]],Table2[[#This Row],[1]:[11]],0))-1)/(COUNTA(Table2[[#This Row],[1]:[11]])-COUNTBLANK(Table2[[#This Row],[1]:[11]])-1)))</f>
        <v/>
      </c>
      <c r="AE53" s="30" t="str" cm="1">
        <f t="array" ref="AE53">IF(Table2[[#This Row],[7]]="","",Table2[[#This Row],[Weight]:[Weight]]-(Table2[[#This Row],[Weight]:[Weight]]*((_xlfn.XMATCH(Table2[[#This Row],[7]],Table2[[#This Row],[1]:[11]],0))-1)/(COUNTA(Table2[[#This Row],[1]:[11]])-COUNTBLANK(Table2[[#This Row],[1]:[11]])-1)))</f>
        <v/>
      </c>
      <c r="AF53" s="30" t="str" cm="1">
        <f t="array" ref="AF53">IF(Table2[[#This Row],[8]]="","",Table2[[#This Row],[Weight]:[Weight]]-(Table2[[#This Row],[Weight]:[Weight]]*((_xlfn.XMATCH(Table2[[#This Row],[8]],Table2[[#This Row],[1]:[11]],0))-1)/(COUNTA(Table2[[#This Row],[1]:[11]])-COUNTBLANK(Table2[[#This Row],[1]:[11]])-1)))</f>
        <v/>
      </c>
      <c r="AG53" s="41" t="str" cm="1">
        <f t="array" ref="AG53">IF(Table2[[#This Row],[9]]="","",Table2[[#This Row],[Weight]:[Weight]]-(Table2[[#This Row],[Weight]:[Weight]]*((_xlfn.XMATCH(Table2[[#This Row],[9]],Table2[[#This Row],[1]:[11]],0))-1)/(COUNTA(Table2[[#This Row],[1]:[11]])-COUNTBLANK(Table2[[#This Row],[1]:[11]])-1)))</f>
        <v/>
      </c>
      <c r="AH53" s="41" t="str" cm="1">
        <f t="array" ref="AH53">IF(Table2[[#This Row],[10]]="","",Table2[[#This Row],[Weight]:[Weight]]-(Table2[[#This Row],[Weight]:[Weight]]*((_xlfn.XMATCH(Table2[[#This Row],[10]],Table2[[#This Row],[1]:[11]],0))-1)/(COUNTA(Table2[[#This Row],[1]:[11]])-COUNTBLANK(Table2[[#This Row],[1]:[11]])-1)))</f>
        <v/>
      </c>
      <c r="AI53" s="41" t="str" cm="1">
        <f t="array" ref="AI53">IF(Table2[[#This Row],[11]]="","",Table2[[#This Row],[Weight]:[Weight]]-(Table2[[#This Row],[Weight]:[Weight]]*((_xlfn.XMATCH(Table2[[#This Row],[11]],Table2[[#This Row],[1]:[11]],0))-1)/(COUNTA(Table2[[#This Row],[1]:[11]])-COUNTBLANK(Table2[[#This Row],[1]:[11]])-1)))</f>
        <v/>
      </c>
    </row>
    <row r="54" spans="1:35" ht="72" x14ac:dyDescent="0.2">
      <c r="A54" s="117" t="s">
        <v>210</v>
      </c>
      <c r="B54" s="184" t="s">
        <v>211</v>
      </c>
      <c r="C54" s="204" t="s">
        <v>212</v>
      </c>
      <c r="D54" s="21"/>
      <c r="E54" s="21" t="s">
        <v>55</v>
      </c>
      <c r="F54" s="22" t="s">
        <v>106</v>
      </c>
      <c r="G54" s="23" cm="1">
        <f t="array" ref="G54">_xlfn.IFS(F54="","",F54="No interest",0,F54="Nice to have",1,F54="Useful",2,F54="Important",3,F54="Very important",4,F54="Critical",5,F54="Show stopper",6)</f>
        <v>5</v>
      </c>
      <c r="H54" s="24">
        <f t="shared" si="2"/>
        <v>8.0971659919028341E-3</v>
      </c>
      <c r="I54" s="25" t="s">
        <v>118</v>
      </c>
      <c r="J54" s="37" t="str" cm="1">
        <f t="array" ref="J54">_xlfn.TEXTJOIN(" "&amp;CHAR(10),,TEXT(SUBSTITUTE(Table2[[#This Row],[12]:[22]],".",","),"0,00%"))</f>
        <v>0,00809716599190283 
0,00404858299595142 
0,00%</v>
      </c>
      <c r="K54" s="26" t="s">
        <v>119</v>
      </c>
      <c r="L54" s="27">
        <f>H54-(H54*((MATCH(Table2[[#This Row],[Evaluators Response (SELECT)]],Table2[[#This Row],[1]:[11]],0)-1)/(COUNTA(Table2[[#This Row],[1]:[11]])-COUNTBLANK(Table2[[#This Row],[1]:[11]])-1)))</f>
        <v>8.0971659919028341E-3</v>
      </c>
      <c r="M54" s="28"/>
      <c r="N54" s="41" t="str" cm="1">
        <f t="array" ref="N54">IFERROR(INDEX(_xlfn.UNIQUE(TRIM(_xlfn.TEXTSPLIT(Table2[[#This Row],[Selection Options]:[Selection Options]],","))),,N$21),"")</f>
        <v>1. Extensive functionality available</v>
      </c>
      <c r="O54" s="29" t="str" cm="1">
        <f t="array" ref="O54">IFERROR(INDEX(_xlfn.UNIQUE(TRIM(_xlfn.TEXTSPLIT(Table2[[#This Row],[Selection Options]:[Selection Options]],","))),,O$21),"")</f>
        <v xml:space="preserve">
2. Limited functionality available</v>
      </c>
      <c r="P54" s="29" t="str" cm="1">
        <f t="array" ref="P54">IFERROR(INDEX(_xlfn.UNIQUE(TRIM(_xlfn.TEXTSPLIT(Table2[[#This Row],[Selection Options]:[Selection Options]],","))),,P$21),"")</f>
        <v xml:space="preserve">
3. Functionality not available</v>
      </c>
      <c r="Q54" s="29" t="str" cm="1">
        <f t="array" ref="Q54">IFERROR(INDEX(_xlfn.UNIQUE(TRIM(_xlfn.TEXTSPLIT(Table2[[#This Row],[Selection Options]:[Selection Options]],","))),,Q$21),"")</f>
        <v/>
      </c>
      <c r="R54" s="29" t="str" cm="1">
        <f t="array" ref="R54">IFERROR(INDEX(_xlfn.UNIQUE(TRIM(_xlfn.TEXTSPLIT(Table2[[#This Row],[Selection Options]:[Selection Options]],","))),,R$21),"")</f>
        <v/>
      </c>
      <c r="S54" s="29" t="str" cm="1">
        <f t="array" ref="S54">IFERROR(INDEX(_xlfn.UNIQUE(TRIM(_xlfn.TEXTSPLIT(Table2[[#This Row],[Selection Options]:[Selection Options]],","))),,S$21),"")</f>
        <v/>
      </c>
      <c r="T54" s="29" t="str" cm="1">
        <f t="array" ref="T54">IFERROR(INDEX(_xlfn.UNIQUE(TRIM(_xlfn.TEXTSPLIT(Table2[[#This Row],[Selection Options]:[Selection Options]],","))),,T$21),"")</f>
        <v/>
      </c>
      <c r="U54" s="29" t="str" cm="1">
        <f t="array" ref="U54">IFERROR(INDEX(_xlfn.UNIQUE(TRIM(_xlfn.TEXTSPLIT(Table2[[#This Row],[Selection Options]:[Selection Options]],","))),,U$21),"")</f>
        <v/>
      </c>
      <c r="V54" s="29" t="str" cm="1">
        <f t="array" ref="V54">IFERROR(INDEX(_xlfn.UNIQUE(TRIM(_xlfn.TEXTSPLIT(Table2[[#This Row],[Selection Options]:[Selection Options]],","))),,V$21),"")</f>
        <v/>
      </c>
      <c r="W54" s="29" t="str" cm="1">
        <f t="array" ref="W54">IFERROR(INDEX(_xlfn.UNIQUE(TRIM(_xlfn.TEXTSPLIT(Table2[[#This Row],[Selection Options]:[Selection Options]],","))),,W$21),"")</f>
        <v/>
      </c>
      <c r="X54" s="29" t="str" cm="1">
        <f t="array" ref="X54">IFERROR(INDEX(_xlfn.UNIQUE(TRIM(_xlfn.TEXTSPLIT(Table2[[#This Row],[Selection Options]:[Selection Options]],","))),,X$21),"")</f>
        <v/>
      </c>
      <c r="Y54" s="30" cm="1">
        <f t="array" ref="Y54">IF(Table2[[#This Row],[1]]="","",Table2[[#This Row],[Weight]:[Weight]]-(Table2[[#This Row],[Weight]:[Weight]]*((_xlfn.XMATCH(Table2[[#This Row],[1]],Table2[[#This Row],[1]:[11]],0))-1)/(COUNTA(Table2[[#This Row],[1]:[11]])-COUNTBLANK(Table2[[#This Row],[1]:[11]])-1)))</f>
        <v>8.0971659919028341E-3</v>
      </c>
      <c r="Z54" s="30" cm="1">
        <f t="array" ref="Z54">IF(Table2[[#This Row],[2]]="","",Table2[[#This Row],[Weight]:[Weight]]-(Table2[[#This Row],[Weight]:[Weight]]*((_xlfn.XMATCH(Table2[[#This Row],[2]],Table2[[#This Row],[1]:[11]],0))-1)/(COUNTA(Table2[[#This Row],[1]:[11]])-COUNTBLANK(Table2[[#This Row],[1]:[11]])-1)))</f>
        <v>4.048582995951417E-3</v>
      </c>
      <c r="AA54" s="30" cm="1">
        <f t="array" ref="AA54">IF(Table2[[#This Row],[3]]="","",Table2[[#This Row],[Weight]:[Weight]]-(Table2[[#This Row],[Weight]:[Weight]]*((_xlfn.XMATCH(Table2[[#This Row],[3]],Table2[[#This Row],[1]:[11]],0))-1)/(COUNTA(Table2[[#This Row],[1]:[11]])-COUNTBLANK(Table2[[#This Row],[1]:[11]])-1)))</f>
        <v>0</v>
      </c>
      <c r="AB54" s="30" t="str" cm="1">
        <f t="array" ref="AB54">IF(Table2[[#This Row],[4]]="","",Table2[[#This Row],[Weight]:[Weight]]-(Table2[[#This Row],[Weight]:[Weight]]*((_xlfn.XMATCH(Table2[[#This Row],[4]],Table2[[#This Row],[1]:[11]],0))-1)/(COUNTA(Table2[[#This Row],[1]:[11]])-COUNTBLANK(Table2[[#This Row],[1]:[11]])-1)))</f>
        <v/>
      </c>
      <c r="AC54" s="30" t="str" cm="1">
        <f t="array" ref="AC54">IF(Table2[[#This Row],[5]]="","",Table2[[#This Row],[Weight]:[Weight]]-(Table2[[#This Row],[Weight]:[Weight]]*((_xlfn.XMATCH(Table2[[#This Row],[5]],Table2[[#This Row],[1]:[11]],0))-1)/(COUNTA(Table2[[#This Row],[1]:[11]])-COUNTBLANK(Table2[[#This Row],[1]:[11]])-1)))</f>
        <v/>
      </c>
      <c r="AD54" s="30" t="str" cm="1">
        <f t="array" ref="AD54">IF(Table2[[#This Row],[6]]="","",Table2[[#This Row],[Weight]:[Weight]]-(Table2[[#This Row],[Weight]:[Weight]]*((_xlfn.XMATCH(Table2[[#This Row],[6]],Table2[[#This Row],[1]:[11]],0))-1)/(COUNTA(Table2[[#This Row],[1]:[11]])-COUNTBLANK(Table2[[#This Row],[1]:[11]])-1)))</f>
        <v/>
      </c>
      <c r="AE54" s="30" t="str" cm="1">
        <f t="array" ref="AE54">IF(Table2[[#This Row],[7]]="","",Table2[[#This Row],[Weight]:[Weight]]-(Table2[[#This Row],[Weight]:[Weight]]*((_xlfn.XMATCH(Table2[[#This Row],[7]],Table2[[#This Row],[1]:[11]],0))-1)/(COUNTA(Table2[[#This Row],[1]:[11]])-COUNTBLANK(Table2[[#This Row],[1]:[11]])-1)))</f>
        <v/>
      </c>
      <c r="AF54" s="30" t="str" cm="1">
        <f t="array" ref="AF54">IF(Table2[[#This Row],[8]]="","",Table2[[#This Row],[Weight]:[Weight]]-(Table2[[#This Row],[Weight]:[Weight]]*((_xlfn.XMATCH(Table2[[#This Row],[8]],Table2[[#This Row],[1]:[11]],0))-1)/(COUNTA(Table2[[#This Row],[1]:[11]])-COUNTBLANK(Table2[[#This Row],[1]:[11]])-1)))</f>
        <v/>
      </c>
      <c r="AG54" s="41" t="str" cm="1">
        <f t="array" ref="AG54">IF(Table2[[#This Row],[9]]="","",Table2[[#This Row],[Weight]:[Weight]]-(Table2[[#This Row],[Weight]:[Weight]]*((_xlfn.XMATCH(Table2[[#This Row],[9]],Table2[[#This Row],[1]:[11]],0))-1)/(COUNTA(Table2[[#This Row],[1]:[11]])-COUNTBLANK(Table2[[#This Row],[1]:[11]])-1)))</f>
        <v/>
      </c>
      <c r="AH54" s="41" t="str" cm="1">
        <f t="array" ref="AH54">IF(Table2[[#This Row],[10]]="","",Table2[[#This Row],[Weight]:[Weight]]-(Table2[[#This Row],[Weight]:[Weight]]*((_xlfn.XMATCH(Table2[[#This Row],[10]],Table2[[#This Row],[1]:[11]],0))-1)/(COUNTA(Table2[[#This Row],[1]:[11]])-COUNTBLANK(Table2[[#This Row],[1]:[11]])-1)))</f>
        <v/>
      </c>
      <c r="AI54" s="41" t="str" cm="1">
        <f t="array" ref="AI54">IF(Table2[[#This Row],[11]]="","",Table2[[#This Row],[Weight]:[Weight]]-(Table2[[#This Row],[Weight]:[Weight]]*((_xlfn.XMATCH(Table2[[#This Row],[11]],Table2[[#This Row],[1]:[11]],0))-1)/(COUNTA(Table2[[#This Row],[1]:[11]])-COUNTBLANK(Table2[[#This Row],[1]:[11]])-1)))</f>
        <v/>
      </c>
    </row>
    <row r="55" spans="1:35" ht="72" x14ac:dyDescent="0.2">
      <c r="A55" s="117" t="s">
        <v>213</v>
      </c>
      <c r="B55" s="184" t="s">
        <v>214</v>
      </c>
      <c r="C55" s="204" t="s">
        <v>215</v>
      </c>
      <c r="D55" s="21"/>
      <c r="E55" s="21" t="s">
        <v>55</v>
      </c>
      <c r="F55" s="22" t="s">
        <v>106</v>
      </c>
      <c r="G55" s="23" cm="1">
        <f t="array" ref="G55">_xlfn.IFS(F55="","",F55="No interest",0,F55="Nice to have",1,F55="Useful",2,F55="Important",3,F55="Very important",4,F55="Critical",5,F55="Show stopper",6)</f>
        <v>5</v>
      </c>
      <c r="H55" s="24">
        <f t="shared" si="2"/>
        <v>8.0971659919028341E-3</v>
      </c>
      <c r="I55" s="25" t="s">
        <v>118</v>
      </c>
      <c r="J55" s="37" t="str" cm="1">
        <f t="array" ref="J55">_xlfn.TEXTJOIN(" "&amp;CHAR(10),,TEXT(SUBSTITUTE(Table2[[#This Row],[12]:[22]],".",","),"0,00%"))</f>
        <v>0,00809716599190283 
0,00404858299595142 
0,00%</v>
      </c>
      <c r="K55" s="26" t="s">
        <v>119</v>
      </c>
      <c r="L55" s="27">
        <f>H55-(H55*((MATCH(Table2[[#This Row],[Evaluators Response (SELECT)]],Table2[[#This Row],[1]:[11]],0)-1)/(COUNTA(Table2[[#This Row],[1]:[11]])-COUNTBLANK(Table2[[#This Row],[1]:[11]])-1)))</f>
        <v>8.0971659919028341E-3</v>
      </c>
      <c r="M55" s="28"/>
      <c r="N55" s="41" t="str" cm="1">
        <f t="array" ref="N55">IFERROR(INDEX(_xlfn.UNIQUE(TRIM(_xlfn.TEXTSPLIT(Table2[[#This Row],[Selection Options]:[Selection Options]],","))),,N$21),"")</f>
        <v>1. Extensive functionality available</v>
      </c>
      <c r="O55" s="29" t="str" cm="1">
        <f t="array" ref="O55">IFERROR(INDEX(_xlfn.UNIQUE(TRIM(_xlfn.TEXTSPLIT(Table2[[#This Row],[Selection Options]:[Selection Options]],","))),,O$21),"")</f>
        <v xml:space="preserve">
2. Limited functionality available</v>
      </c>
      <c r="P55" s="29" t="str" cm="1">
        <f t="array" ref="P55">IFERROR(INDEX(_xlfn.UNIQUE(TRIM(_xlfn.TEXTSPLIT(Table2[[#This Row],[Selection Options]:[Selection Options]],","))),,P$21),"")</f>
        <v xml:space="preserve">
3. Functionality not available</v>
      </c>
      <c r="Q55" s="29" t="str" cm="1">
        <f t="array" ref="Q55">IFERROR(INDEX(_xlfn.UNIQUE(TRIM(_xlfn.TEXTSPLIT(Table2[[#This Row],[Selection Options]:[Selection Options]],","))),,Q$21),"")</f>
        <v/>
      </c>
      <c r="R55" s="29" t="str" cm="1">
        <f t="array" ref="R55">IFERROR(INDEX(_xlfn.UNIQUE(TRIM(_xlfn.TEXTSPLIT(Table2[[#This Row],[Selection Options]:[Selection Options]],","))),,R$21),"")</f>
        <v/>
      </c>
      <c r="S55" s="29" t="str" cm="1">
        <f t="array" ref="S55">IFERROR(INDEX(_xlfn.UNIQUE(TRIM(_xlfn.TEXTSPLIT(Table2[[#This Row],[Selection Options]:[Selection Options]],","))),,S$21),"")</f>
        <v/>
      </c>
      <c r="T55" s="29" t="str" cm="1">
        <f t="array" ref="T55">IFERROR(INDEX(_xlfn.UNIQUE(TRIM(_xlfn.TEXTSPLIT(Table2[[#This Row],[Selection Options]:[Selection Options]],","))),,T$21),"")</f>
        <v/>
      </c>
      <c r="U55" s="29" t="str" cm="1">
        <f t="array" ref="U55">IFERROR(INDEX(_xlfn.UNIQUE(TRIM(_xlfn.TEXTSPLIT(Table2[[#This Row],[Selection Options]:[Selection Options]],","))),,U$21),"")</f>
        <v/>
      </c>
      <c r="V55" s="29" t="str" cm="1">
        <f t="array" ref="V55">IFERROR(INDEX(_xlfn.UNIQUE(TRIM(_xlfn.TEXTSPLIT(Table2[[#This Row],[Selection Options]:[Selection Options]],","))),,V$21),"")</f>
        <v/>
      </c>
      <c r="W55" s="29" t="str" cm="1">
        <f t="array" ref="W55">IFERROR(INDEX(_xlfn.UNIQUE(TRIM(_xlfn.TEXTSPLIT(Table2[[#This Row],[Selection Options]:[Selection Options]],","))),,W$21),"")</f>
        <v/>
      </c>
      <c r="X55" s="29" t="str" cm="1">
        <f t="array" ref="X55">IFERROR(INDEX(_xlfn.UNIQUE(TRIM(_xlfn.TEXTSPLIT(Table2[[#This Row],[Selection Options]:[Selection Options]],","))),,X$21),"")</f>
        <v/>
      </c>
      <c r="Y55" s="30" cm="1">
        <f t="array" ref="Y55">IF(Table2[[#This Row],[1]]="","",Table2[[#This Row],[Weight]:[Weight]]-(Table2[[#This Row],[Weight]:[Weight]]*((_xlfn.XMATCH(Table2[[#This Row],[1]],Table2[[#This Row],[1]:[11]],0))-1)/(COUNTA(Table2[[#This Row],[1]:[11]])-COUNTBLANK(Table2[[#This Row],[1]:[11]])-1)))</f>
        <v>8.0971659919028341E-3</v>
      </c>
      <c r="Z55" s="30" cm="1">
        <f t="array" ref="Z55">IF(Table2[[#This Row],[2]]="","",Table2[[#This Row],[Weight]:[Weight]]-(Table2[[#This Row],[Weight]:[Weight]]*((_xlfn.XMATCH(Table2[[#This Row],[2]],Table2[[#This Row],[1]:[11]],0))-1)/(COUNTA(Table2[[#This Row],[1]:[11]])-COUNTBLANK(Table2[[#This Row],[1]:[11]])-1)))</f>
        <v>4.048582995951417E-3</v>
      </c>
      <c r="AA55" s="30" cm="1">
        <f t="array" ref="AA55">IF(Table2[[#This Row],[3]]="","",Table2[[#This Row],[Weight]:[Weight]]-(Table2[[#This Row],[Weight]:[Weight]]*((_xlfn.XMATCH(Table2[[#This Row],[3]],Table2[[#This Row],[1]:[11]],0))-1)/(COUNTA(Table2[[#This Row],[1]:[11]])-COUNTBLANK(Table2[[#This Row],[1]:[11]])-1)))</f>
        <v>0</v>
      </c>
      <c r="AB55" s="30" t="str" cm="1">
        <f t="array" ref="AB55">IF(Table2[[#This Row],[4]]="","",Table2[[#This Row],[Weight]:[Weight]]-(Table2[[#This Row],[Weight]:[Weight]]*((_xlfn.XMATCH(Table2[[#This Row],[4]],Table2[[#This Row],[1]:[11]],0))-1)/(COUNTA(Table2[[#This Row],[1]:[11]])-COUNTBLANK(Table2[[#This Row],[1]:[11]])-1)))</f>
        <v/>
      </c>
      <c r="AC55" s="30" t="str" cm="1">
        <f t="array" ref="AC55">IF(Table2[[#This Row],[5]]="","",Table2[[#This Row],[Weight]:[Weight]]-(Table2[[#This Row],[Weight]:[Weight]]*((_xlfn.XMATCH(Table2[[#This Row],[5]],Table2[[#This Row],[1]:[11]],0))-1)/(COUNTA(Table2[[#This Row],[1]:[11]])-COUNTBLANK(Table2[[#This Row],[1]:[11]])-1)))</f>
        <v/>
      </c>
      <c r="AD55" s="30" t="str" cm="1">
        <f t="array" ref="AD55">IF(Table2[[#This Row],[6]]="","",Table2[[#This Row],[Weight]:[Weight]]-(Table2[[#This Row],[Weight]:[Weight]]*((_xlfn.XMATCH(Table2[[#This Row],[6]],Table2[[#This Row],[1]:[11]],0))-1)/(COUNTA(Table2[[#This Row],[1]:[11]])-COUNTBLANK(Table2[[#This Row],[1]:[11]])-1)))</f>
        <v/>
      </c>
      <c r="AE55" s="30" t="str" cm="1">
        <f t="array" ref="AE55">IF(Table2[[#This Row],[7]]="","",Table2[[#This Row],[Weight]:[Weight]]-(Table2[[#This Row],[Weight]:[Weight]]*((_xlfn.XMATCH(Table2[[#This Row],[7]],Table2[[#This Row],[1]:[11]],0))-1)/(COUNTA(Table2[[#This Row],[1]:[11]])-COUNTBLANK(Table2[[#This Row],[1]:[11]])-1)))</f>
        <v/>
      </c>
      <c r="AF55" s="30" t="str" cm="1">
        <f t="array" ref="AF55">IF(Table2[[#This Row],[8]]="","",Table2[[#This Row],[Weight]:[Weight]]-(Table2[[#This Row],[Weight]:[Weight]]*((_xlfn.XMATCH(Table2[[#This Row],[8]],Table2[[#This Row],[1]:[11]],0))-1)/(COUNTA(Table2[[#This Row],[1]:[11]])-COUNTBLANK(Table2[[#This Row],[1]:[11]])-1)))</f>
        <v/>
      </c>
      <c r="AG55" s="41" t="str" cm="1">
        <f t="array" ref="AG55">IF(Table2[[#This Row],[9]]="","",Table2[[#This Row],[Weight]:[Weight]]-(Table2[[#This Row],[Weight]:[Weight]]*((_xlfn.XMATCH(Table2[[#This Row],[9]],Table2[[#This Row],[1]:[11]],0))-1)/(COUNTA(Table2[[#This Row],[1]:[11]])-COUNTBLANK(Table2[[#This Row],[1]:[11]])-1)))</f>
        <v/>
      </c>
      <c r="AH55" s="41" t="str" cm="1">
        <f t="array" ref="AH55">IF(Table2[[#This Row],[10]]="","",Table2[[#This Row],[Weight]:[Weight]]-(Table2[[#This Row],[Weight]:[Weight]]*((_xlfn.XMATCH(Table2[[#This Row],[10]],Table2[[#This Row],[1]:[11]],0))-1)/(COUNTA(Table2[[#This Row],[1]:[11]])-COUNTBLANK(Table2[[#This Row],[1]:[11]])-1)))</f>
        <v/>
      </c>
      <c r="AI55" s="41" t="str" cm="1">
        <f t="array" ref="AI55">IF(Table2[[#This Row],[11]]="","",Table2[[#This Row],[Weight]:[Weight]]-(Table2[[#This Row],[Weight]:[Weight]]*((_xlfn.XMATCH(Table2[[#This Row],[11]],Table2[[#This Row],[1]:[11]],0))-1)/(COUNTA(Table2[[#This Row],[1]:[11]])-COUNTBLANK(Table2[[#This Row],[1]:[11]])-1)))</f>
        <v/>
      </c>
    </row>
    <row r="56" spans="1:35" ht="72" x14ac:dyDescent="0.2">
      <c r="A56" s="117" t="s">
        <v>216</v>
      </c>
      <c r="B56" s="21" t="s">
        <v>217</v>
      </c>
      <c r="C56" s="204" t="s">
        <v>218</v>
      </c>
      <c r="D56" s="21"/>
      <c r="E56" s="21" t="s">
        <v>55</v>
      </c>
      <c r="F56" s="22" t="s">
        <v>60</v>
      </c>
      <c r="G56" s="23" cm="1">
        <f t="array" ref="G56">_xlfn.IFS(F56="","",F56="No interest",0,F56="Nice to have",1,F56="Useful",2,F56="Important",3,F56="Very important",4,F56="Critical",5,F56="Show stopper",6)</f>
        <v>6</v>
      </c>
      <c r="H56" s="24">
        <f t="shared" si="2"/>
        <v>9.7165991902834013E-3</v>
      </c>
      <c r="I56" s="25" t="s">
        <v>118</v>
      </c>
      <c r="J56" s="37" t="str" cm="1">
        <f t="array" ref="J56">_xlfn.TEXTJOIN(" "&amp;CHAR(10),,TEXT(SUBSTITUTE(Table2[[#This Row],[12]:[22]],".",","),"0,00%"))</f>
        <v>0,0097165991902834 
0,0048582995951417 
0,00%</v>
      </c>
      <c r="K56" s="26" t="s">
        <v>119</v>
      </c>
      <c r="L56" s="27">
        <f>H56-(H56*((MATCH(Table2[[#This Row],[Evaluators Response (SELECT)]],Table2[[#This Row],[1]:[11]],0)-1)/(COUNTA(Table2[[#This Row],[1]:[11]])-COUNTBLANK(Table2[[#This Row],[1]:[11]])-1)))</f>
        <v>9.7165991902834013E-3</v>
      </c>
      <c r="M56" s="28"/>
      <c r="N56" s="41" t="str" cm="1">
        <f t="array" ref="N56">IFERROR(INDEX(_xlfn.UNIQUE(TRIM(_xlfn.TEXTSPLIT(Table2[[#This Row],[Selection Options]:[Selection Options]],","))),,N$21),"")</f>
        <v>1. Extensive functionality available</v>
      </c>
      <c r="O56" s="29" t="str" cm="1">
        <f t="array" ref="O56">IFERROR(INDEX(_xlfn.UNIQUE(TRIM(_xlfn.TEXTSPLIT(Table2[[#This Row],[Selection Options]:[Selection Options]],","))),,O$21),"")</f>
        <v xml:space="preserve">
2. Limited functionality available</v>
      </c>
      <c r="P56" s="29" t="str" cm="1">
        <f t="array" ref="P56">IFERROR(INDEX(_xlfn.UNIQUE(TRIM(_xlfn.TEXTSPLIT(Table2[[#This Row],[Selection Options]:[Selection Options]],","))),,P$21),"")</f>
        <v xml:space="preserve">
3. Functionality not available</v>
      </c>
      <c r="Q56" s="29" t="str" cm="1">
        <f t="array" ref="Q56">IFERROR(INDEX(_xlfn.UNIQUE(TRIM(_xlfn.TEXTSPLIT(Table2[[#This Row],[Selection Options]:[Selection Options]],","))),,Q$21),"")</f>
        <v/>
      </c>
      <c r="R56" s="29" t="str" cm="1">
        <f t="array" ref="R56">IFERROR(INDEX(_xlfn.UNIQUE(TRIM(_xlfn.TEXTSPLIT(Table2[[#This Row],[Selection Options]:[Selection Options]],","))),,R$21),"")</f>
        <v/>
      </c>
      <c r="S56" s="29" t="str" cm="1">
        <f t="array" ref="S56">IFERROR(INDEX(_xlfn.UNIQUE(TRIM(_xlfn.TEXTSPLIT(Table2[[#This Row],[Selection Options]:[Selection Options]],","))),,S$21),"")</f>
        <v/>
      </c>
      <c r="T56" s="29" t="str" cm="1">
        <f t="array" ref="T56">IFERROR(INDEX(_xlfn.UNIQUE(TRIM(_xlfn.TEXTSPLIT(Table2[[#This Row],[Selection Options]:[Selection Options]],","))),,T$21),"")</f>
        <v/>
      </c>
      <c r="U56" s="29" t="str" cm="1">
        <f t="array" ref="U56">IFERROR(INDEX(_xlfn.UNIQUE(TRIM(_xlfn.TEXTSPLIT(Table2[[#This Row],[Selection Options]:[Selection Options]],","))),,U$21),"")</f>
        <v/>
      </c>
      <c r="V56" s="29" t="str" cm="1">
        <f t="array" ref="V56">IFERROR(INDEX(_xlfn.UNIQUE(TRIM(_xlfn.TEXTSPLIT(Table2[[#This Row],[Selection Options]:[Selection Options]],","))),,V$21),"")</f>
        <v/>
      </c>
      <c r="W56" s="29" t="str" cm="1">
        <f t="array" ref="W56">IFERROR(INDEX(_xlfn.UNIQUE(TRIM(_xlfn.TEXTSPLIT(Table2[[#This Row],[Selection Options]:[Selection Options]],","))),,W$21),"")</f>
        <v/>
      </c>
      <c r="X56" s="29" t="str" cm="1">
        <f t="array" ref="X56">IFERROR(INDEX(_xlfn.UNIQUE(TRIM(_xlfn.TEXTSPLIT(Table2[[#This Row],[Selection Options]:[Selection Options]],","))),,X$21),"")</f>
        <v/>
      </c>
      <c r="Y56" s="30" cm="1">
        <f t="array" ref="Y56">IF(Table2[[#This Row],[1]]="","",Table2[[#This Row],[Weight]:[Weight]]-(Table2[[#This Row],[Weight]:[Weight]]*((_xlfn.XMATCH(Table2[[#This Row],[1]],Table2[[#This Row],[1]:[11]],0))-1)/(COUNTA(Table2[[#This Row],[1]:[11]])-COUNTBLANK(Table2[[#This Row],[1]:[11]])-1)))</f>
        <v>9.7165991902834013E-3</v>
      </c>
      <c r="Z56" s="30" cm="1">
        <f t="array" ref="Z56">IF(Table2[[#This Row],[2]]="","",Table2[[#This Row],[Weight]:[Weight]]-(Table2[[#This Row],[Weight]:[Weight]]*((_xlfn.XMATCH(Table2[[#This Row],[2]],Table2[[#This Row],[1]:[11]],0))-1)/(COUNTA(Table2[[#This Row],[1]:[11]])-COUNTBLANK(Table2[[#This Row],[1]:[11]])-1)))</f>
        <v>4.8582995951417006E-3</v>
      </c>
      <c r="AA56" s="30" cm="1">
        <f t="array" ref="AA56">IF(Table2[[#This Row],[3]]="","",Table2[[#This Row],[Weight]:[Weight]]-(Table2[[#This Row],[Weight]:[Weight]]*((_xlfn.XMATCH(Table2[[#This Row],[3]],Table2[[#This Row],[1]:[11]],0))-1)/(COUNTA(Table2[[#This Row],[1]:[11]])-COUNTBLANK(Table2[[#This Row],[1]:[11]])-1)))</f>
        <v>0</v>
      </c>
      <c r="AB56" s="30" t="str" cm="1">
        <f t="array" ref="AB56">IF(Table2[[#This Row],[4]]="","",Table2[[#This Row],[Weight]:[Weight]]-(Table2[[#This Row],[Weight]:[Weight]]*((_xlfn.XMATCH(Table2[[#This Row],[4]],Table2[[#This Row],[1]:[11]],0))-1)/(COUNTA(Table2[[#This Row],[1]:[11]])-COUNTBLANK(Table2[[#This Row],[1]:[11]])-1)))</f>
        <v/>
      </c>
      <c r="AC56" s="30" t="str" cm="1">
        <f t="array" ref="AC56">IF(Table2[[#This Row],[5]]="","",Table2[[#This Row],[Weight]:[Weight]]-(Table2[[#This Row],[Weight]:[Weight]]*((_xlfn.XMATCH(Table2[[#This Row],[5]],Table2[[#This Row],[1]:[11]],0))-1)/(COUNTA(Table2[[#This Row],[1]:[11]])-COUNTBLANK(Table2[[#This Row],[1]:[11]])-1)))</f>
        <v/>
      </c>
      <c r="AD56" s="30" t="str" cm="1">
        <f t="array" ref="AD56">IF(Table2[[#This Row],[6]]="","",Table2[[#This Row],[Weight]:[Weight]]-(Table2[[#This Row],[Weight]:[Weight]]*((_xlfn.XMATCH(Table2[[#This Row],[6]],Table2[[#This Row],[1]:[11]],0))-1)/(COUNTA(Table2[[#This Row],[1]:[11]])-COUNTBLANK(Table2[[#This Row],[1]:[11]])-1)))</f>
        <v/>
      </c>
      <c r="AE56" s="30" t="str" cm="1">
        <f t="array" ref="AE56">IF(Table2[[#This Row],[7]]="","",Table2[[#This Row],[Weight]:[Weight]]-(Table2[[#This Row],[Weight]:[Weight]]*((_xlfn.XMATCH(Table2[[#This Row],[7]],Table2[[#This Row],[1]:[11]],0))-1)/(COUNTA(Table2[[#This Row],[1]:[11]])-COUNTBLANK(Table2[[#This Row],[1]:[11]])-1)))</f>
        <v/>
      </c>
      <c r="AF56" s="30" t="str" cm="1">
        <f t="array" ref="AF56">IF(Table2[[#This Row],[8]]="","",Table2[[#This Row],[Weight]:[Weight]]-(Table2[[#This Row],[Weight]:[Weight]]*((_xlfn.XMATCH(Table2[[#This Row],[8]],Table2[[#This Row],[1]:[11]],0))-1)/(COUNTA(Table2[[#This Row],[1]:[11]])-COUNTBLANK(Table2[[#This Row],[1]:[11]])-1)))</f>
        <v/>
      </c>
      <c r="AG56" s="41" t="str" cm="1">
        <f t="array" ref="AG56">IF(Table2[[#This Row],[9]]="","",Table2[[#This Row],[Weight]:[Weight]]-(Table2[[#This Row],[Weight]:[Weight]]*((_xlfn.XMATCH(Table2[[#This Row],[9]],Table2[[#This Row],[1]:[11]],0))-1)/(COUNTA(Table2[[#This Row],[1]:[11]])-COUNTBLANK(Table2[[#This Row],[1]:[11]])-1)))</f>
        <v/>
      </c>
      <c r="AH56" s="41" t="str" cm="1">
        <f t="array" ref="AH56">IF(Table2[[#This Row],[10]]="","",Table2[[#This Row],[Weight]:[Weight]]-(Table2[[#This Row],[Weight]:[Weight]]*((_xlfn.XMATCH(Table2[[#This Row],[10]],Table2[[#This Row],[1]:[11]],0))-1)/(COUNTA(Table2[[#This Row],[1]:[11]])-COUNTBLANK(Table2[[#This Row],[1]:[11]])-1)))</f>
        <v/>
      </c>
      <c r="AI56" s="41" t="str" cm="1">
        <f t="array" ref="AI56">IF(Table2[[#This Row],[11]]="","",Table2[[#This Row],[Weight]:[Weight]]-(Table2[[#This Row],[Weight]:[Weight]]*((_xlfn.XMATCH(Table2[[#This Row],[11]],Table2[[#This Row],[1]:[11]],0))-1)/(COUNTA(Table2[[#This Row],[1]:[11]])-COUNTBLANK(Table2[[#This Row],[1]:[11]])-1)))</f>
        <v/>
      </c>
    </row>
    <row r="57" spans="1:35" ht="72" x14ac:dyDescent="0.2">
      <c r="A57" s="117" t="s">
        <v>219</v>
      </c>
      <c r="B57" s="21" t="s">
        <v>220</v>
      </c>
      <c r="C57" s="204" t="s">
        <v>221</v>
      </c>
      <c r="D57" s="21"/>
      <c r="E57" s="21" t="s">
        <v>55</v>
      </c>
      <c r="F57" s="22" t="s">
        <v>60</v>
      </c>
      <c r="G57" s="23" cm="1">
        <f t="array" ref="G57">_xlfn.IFS(F57="","",F57="No interest",0,F57="Nice to have",1,F57="Useful",2,F57="Important",3,F57="Very important",4,F57="Critical",5,F57="Show stopper",6)</f>
        <v>6</v>
      </c>
      <c r="H57" s="24">
        <f t="shared" si="2"/>
        <v>9.7165991902834013E-3</v>
      </c>
      <c r="I57" s="25" t="s">
        <v>118</v>
      </c>
      <c r="J57" s="37" t="str" cm="1">
        <f t="array" ref="J57">_xlfn.TEXTJOIN(" "&amp;CHAR(10),,TEXT(SUBSTITUTE(Table2[[#This Row],[12]:[22]],".",","),"0,00%"))</f>
        <v>0,0097165991902834 
0,0048582995951417 
0,00%</v>
      </c>
      <c r="K57" s="26" t="s">
        <v>119</v>
      </c>
      <c r="L57" s="27">
        <f>H57-(H57*((MATCH(Table2[[#This Row],[Evaluators Response (SELECT)]],Table2[[#This Row],[1]:[11]],0)-1)/(COUNTA(Table2[[#This Row],[1]:[11]])-COUNTBLANK(Table2[[#This Row],[1]:[11]])-1)))</f>
        <v>9.7165991902834013E-3</v>
      </c>
      <c r="M57" s="28"/>
      <c r="N57" s="41" t="str" cm="1">
        <f t="array" ref="N57">IFERROR(INDEX(_xlfn.UNIQUE(TRIM(_xlfn.TEXTSPLIT(Table2[[#This Row],[Selection Options]:[Selection Options]],","))),,N$21),"")</f>
        <v>1. Extensive functionality available</v>
      </c>
      <c r="O57" s="29" t="str" cm="1">
        <f t="array" ref="O57">IFERROR(INDEX(_xlfn.UNIQUE(TRIM(_xlfn.TEXTSPLIT(Table2[[#This Row],[Selection Options]:[Selection Options]],","))),,O$21),"")</f>
        <v xml:space="preserve">
2. Limited functionality available</v>
      </c>
      <c r="P57" s="29" t="str" cm="1">
        <f t="array" ref="P57">IFERROR(INDEX(_xlfn.UNIQUE(TRIM(_xlfn.TEXTSPLIT(Table2[[#This Row],[Selection Options]:[Selection Options]],","))),,P$21),"")</f>
        <v xml:space="preserve">
3. Functionality not available</v>
      </c>
      <c r="Q57" s="29" t="str" cm="1">
        <f t="array" ref="Q57">IFERROR(INDEX(_xlfn.UNIQUE(TRIM(_xlfn.TEXTSPLIT(Table2[[#This Row],[Selection Options]:[Selection Options]],","))),,Q$21),"")</f>
        <v/>
      </c>
      <c r="R57" s="29" t="str" cm="1">
        <f t="array" ref="R57">IFERROR(INDEX(_xlfn.UNIQUE(TRIM(_xlfn.TEXTSPLIT(Table2[[#This Row],[Selection Options]:[Selection Options]],","))),,R$21),"")</f>
        <v/>
      </c>
      <c r="S57" s="29" t="str" cm="1">
        <f t="array" ref="S57">IFERROR(INDEX(_xlfn.UNIQUE(TRIM(_xlfn.TEXTSPLIT(Table2[[#This Row],[Selection Options]:[Selection Options]],","))),,S$21),"")</f>
        <v/>
      </c>
      <c r="T57" s="29" t="str" cm="1">
        <f t="array" ref="T57">IFERROR(INDEX(_xlfn.UNIQUE(TRIM(_xlfn.TEXTSPLIT(Table2[[#This Row],[Selection Options]:[Selection Options]],","))),,T$21),"")</f>
        <v/>
      </c>
      <c r="U57" s="29" t="str" cm="1">
        <f t="array" ref="U57">IFERROR(INDEX(_xlfn.UNIQUE(TRIM(_xlfn.TEXTSPLIT(Table2[[#This Row],[Selection Options]:[Selection Options]],","))),,U$21),"")</f>
        <v/>
      </c>
      <c r="V57" s="29" t="str" cm="1">
        <f t="array" ref="V57">IFERROR(INDEX(_xlfn.UNIQUE(TRIM(_xlfn.TEXTSPLIT(Table2[[#This Row],[Selection Options]:[Selection Options]],","))),,V$21),"")</f>
        <v/>
      </c>
      <c r="W57" s="29" t="str" cm="1">
        <f t="array" ref="W57">IFERROR(INDEX(_xlfn.UNIQUE(TRIM(_xlfn.TEXTSPLIT(Table2[[#This Row],[Selection Options]:[Selection Options]],","))),,W$21),"")</f>
        <v/>
      </c>
      <c r="X57" s="29" t="str" cm="1">
        <f t="array" ref="X57">IFERROR(INDEX(_xlfn.UNIQUE(TRIM(_xlfn.TEXTSPLIT(Table2[[#This Row],[Selection Options]:[Selection Options]],","))),,X$21),"")</f>
        <v/>
      </c>
      <c r="Y57" s="30" cm="1">
        <f t="array" ref="Y57">IF(Table2[[#This Row],[1]]="","",Table2[[#This Row],[Weight]:[Weight]]-(Table2[[#This Row],[Weight]:[Weight]]*((_xlfn.XMATCH(Table2[[#This Row],[1]],Table2[[#This Row],[1]:[11]],0))-1)/(COUNTA(Table2[[#This Row],[1]:[11]])-COUNTBLANK(Table2[[#This Row],[1]:[11]])-1)))</f>
        <v>9.7165991902834013E-3</v>
      </c>
      <c r="Z57" s="30" cm="1">
        <f t="array" ref="Z57">IF(Table2[[#This Row],[2]]="","",Table2[[#This Row],[Weight]:[Weight]]-(Table2[[#This Row],[Weight]:[Weight]]*((_xlfn.XMATCH(Table2[[#This Row],[2]],Table2[[#This Row],[1]:[11]],0))-1)/(COUNTA(Table2[[#This Row],[1]:[11]])-COUNTBLANK(Table2[[#This Row],[1]:[11]])-1)))</f>
        <v>4.8582995951417006E-3</v>
      </c>
      <c r="AA57" s="30" cm="1">
        <f t="array" ref="AA57">IF(Table2[[#This Row],[3]]="","",Table2[[#This Row],[Weight]:[Weight]]-(Table2[[#This Row],[Weight]:[Weight]]*((_xlfn.XMATCH(Table2[[#This Row],[3]],Table2[[#This Row],[1]:[11]],0))-1)/(COUNTA(Table2[[#This Row],[1]:[11]])-COUNTBLANK(Table2[[#This Row],[1]:[11]])-1)))</f>
        <v>0</v>
      </c>
      <c r="AB57" s="30" t="str" cm="1">
        <f t="array" ref="AB57">IF(Table2[[#This Row],[4]]="","",Table2[[#This Row],[Weight]:[Weight]]-(Table2[[#This Row],[Weight]:[Weight]]*((_xlfn.XMATCH(Table2[[#This Row],[4]],Table2[[#This Row],[1]:[11]],0))-1)/(COUNTA(Table2[[#This Row],[1]:[11]])-COUNTBLANK(Table2[[#This Row],[1]:[11]])-1)))</f>
        <v/>
      </c>
      <c r="AC57" s="30" t="str" cm="1">
        <f t="array" ref="AC57">IF(Table2[[#This Row],[5]]="","",Table2[[#This Row],[Weight]:[Weight]]-(Table2[[#This Row],[Weight]:[Weight]]*((_xlfn.XMATCH(Table2[[#This Row],[5]],Table2[[#This Row],[1]:[11]],0))-1)/(COUNTA(Table2[[#This Row],[1]:[11]])-COUNTBLANK(Table2[[#This Row],[1]:[11]])-1)))</f>
        <v/>
      </c>
      <c r="AD57" s="30" t="str" cm="1">
        <f t="array" ref="AD57">IF(Table2[[#This Row],[6]]="","",Table2[[#This Row],[Weight]:[Weight]]-(Table2[[#This Row],[Weight]:[Weight]]*((_xlfn.XMATCH(Table2[[#This Row],[6]],Table2[[#This Row],[1]:[11]],0))-1)/(COUNTA(Table2[[#This Row],[1]:[11]])-COUNTBLANK(Table2[[#This Row],[1]:[11]])-1)))</f>
        <v/>
      </c>
      <c r="AE57" s="30" t="str" cm="1">
        <f t="array" ref="AE57">IF(Table2[[#This Row],[7]]="","",Table2[[#This Row],[Weight]:[Weight]]-(Table2[[#This Row],[Weight]:[Weight]]*((_xlfn.XMATCH(Table2[[#This Row],[7]],Table2[[#This Row],[1]:[11]],0))-1)/(COUNTA(Table2[[#This Row],[1]:[11]])-COUNTBLANK(Table2[[#This Row],[1]:[11]])-1)))</f>
        <v/>
      </c>
      <c r="AF57" s="30" t="str" cm="1">
        <f t="array" ref="AF57">IF(Table2[[#This Row],[8]]="","",Table2[[#This Row],[Weight]:[Weight]]-(Table2[[#This Row],[Weight]:[Weight]]*((_xlfn.XMATCH(Table2[[#This Row],[8]],Table2[[#This Row],[1]:[11]],0))-1)/(COUNTA(Table2[[#This Row],[1]:[11]])-COUNTBLANK(Table2[[#This Row],[1]:[11]])-1)))</f>
        <v/>
      </c>
      <c r="AG57" s="41" t="str" cm="1">
        <f t="array" ref="AG57">IF(Table2[[#This Row],[9]]="","",Table2[[#This Row],[Weight]:[Weight]]-(Table2[[#This Row],[Weight]:[Weight]]*((_xlfn.XMATCH(Table2[[#This Row],[9]],Table2[[#This Row],[1]:[11]],0))-1)/(COUNTA(Table2[[#This Row],[1]:[11]])-COUNTBLANK(Table2[[#This Row],[1]:[11]])-1)))</f>
        <v/>
      </c>
      <c r="AH57" s="41" t="str" cm="1">
        <f t="array" ref="AH57">IF(Table2[[#This Row],[10]]="","",Table2[[#This Row],[Weight]:[Weight]]-(Table2[[#This Row],[Weight]:[Weight]]*((_xlfn.XMATCH(Table2[[#This Row],[10]],Table2[[#This Row],[1]:[11]],0))-1)/(COUNTA(Table2[[#This Row],[1]:[11]])-COUNTBLANK(Table2[[#This Row],[1]:[11]])-1)))</f>
        <v/>
      </c>
      <c r="AI57" s="41" t="str" cm="1">
        <f t="array" ref="AI57">IF(Table2[[#This Row],[11]]="","",Table2[[#This Row],[Weight]:[Weight]]-(Table2[[#This Row],[Weight]:[Weight]]*((_xlfn.XMATCH(Table2[[#This Row],[11]],Table2[[#This Row],[1]:[11]],0))-1)/(COUNTA(Table2[[#This Row],[1]:[11]])-COUNTBLANK(Table2[[#This Row],[1]:[11]])-1)))</f>
        <v/>
      </c>
    </row>
    <row r="58" spans="1:35" ht="72" x14ac:dyDescent="0.2">
      <c r="A58" s="117" t="s">
        <v>222</v>
      </c>
      <c r="B58" s="21" t="s">
        <v>223</v>
      </c>
      <c r="C58" s="204" t="s">
        <v>224</v>
      </c>
      <c r="D58" s="21"/>
      <c r="E58" s="21" t="s">
        <v>55</v>
      </c>
      <c r="F58" s="22" t="s">
        <v>60</v>
      </c>
      <c r="G58" s="23" cm="1">
        <f t="array" ref="G58">_xlfn.IFS(F58="","",F58="No interest",0,F58="Nice to have",1,F58="Useful",2,F58="Important",3,F58="Very important",4,F58="Critical",5,F58="Show stopper",6)</f>
        <v>6</v>
      </c>
      <c r="H58" s="24">
        <f t="shared" si="2"/>
        <v>9.7165991902834013E-3</v>
      </c>
      <c r="I58" s="25" t="s">
        <v>118</v>
      </c>
      <c r="J58" s="37" t="str" cm="1">
        <f t="array" ref="J58">_xlfn.TEXTJOIN(" "&amp;CHAR(10),,TEXT(SUBSTITUTE(Table2[[#This Row],[12]:[22]],".",","),"0,00%"))</f>
        <v>0,0097165991902834 
0,0048582995951417 
0,00%</v>
      </c>
      <c r="K58" s="26" t="s">
        <v>119</v>
      </c>
      <c r="L58" s="27">
        <f>H58-(H58*((MATCH(Table2[[#This Row],[Evaluators Response (SELECT)]],Table2[[#This Row],[1]:[11]],0)-1)/(COUNTA(Table2[[#This Row],[1]:[11]])-COUNTBLANK(Table2[[#This Row],[1]:[11]])-1)))</f>
        <v>9.7165991902834013E-3</v>
      </c>
      <c r="M58" s="28"/>
      <c r="N58" s="41" t="str" cm="1">
        <f t="array" ref="N58">IFERROR(INDEX(_xlfn.UNIQUE(TRIM(_xlfn.TEXTSPLIT(Table2[[#This Row],[Selection Options]:[Selection Options]],","))),,N$21),"")</f>
        <v>1. Extensive functionality available</v>
      </c>
      <c r="O58" s="29" t="str" cm="1">
        <f t="array" ref="O58">IFERROR(INDEX(_xlfn.UNIQUE(TRIM(_xlfn.TEXTSPLIT(Table2[[#This Row],[Selection Options]:[Selection Options]],","))),,O$21),"")</f>
        <v xml:space="preserve">
2. Limited functionality available</v>
      </c>
      <c r="P58" s="29" t="str" cm="1">
        <f t="array" ref="P58">IFERROR(INDEX(_xlfn.UNIQUE(TRIM(_xlfn.TEXTSPLIT(Table2[[#This Row],[Selection Options]:[Selection Options]],","))),,P$21),"")</f>
        <v xml:space="preserve">
3. Functionality not available</v>
      </c>
      <c r="Q58" s="29" t="str" cm="1">
        <f t="array" ref="Q58">IFERROR(INDEX(_xlfn.UNIQUE(TRIM(_xlfn.TEXTSPLIT(Table2[[#This Row],[Selection Options]:[Selection Options]],","))),,Q$21),"")</f>
        <v/>
      </c>
      <c r="R58" s="29" t="str" cm="1">
        <f t="array" ref="R58">IFERROR(INDEX(_xlfn.UNIQUE(TRIM(_xlfn.TEXTSPLIT(Table2[[#This Row],[Selection Options]:[Selection Options]],","))),,R$21),"")</f>
        <v/>
      </c>
      <c r="S58" s="29" t="str" cm="1">
        <f t="array" ref="S58">IFERROR(INDEX(_xlfn.UNIQUE(TRIM(_xlfn.TEXTSPLIT(Table2[[#This Row],[Selection Options]:[Selection Options]],","))),,S$21),"")</f>
        <v/>
      </c>
      <c r="T58" s="29" t="str" cm="1">
        <f t="array" ref="T58">IFERROR(INDEX(_xlfn.UNIQUE(TRIM(_xlfn.TEXTSPLIT(Table2[[#This Row],[Selection Options]:[Selection Options]],","))),,T$21),"")</f>
        <v/>
      </c>
      <c r="U58" s="29" t="str" cm="1">
        <f t="array" ref="U58">IFERROR(INDEX(_xlfn.UNIQUE(TRIM(_xlfn.TEXTSPLIT(Table2[[#This Row],[Selection Options]:[Selection Options]],","))),,U$21),"")</f>
        <v/>
      </c>
      <c r="V58" s="29" t="str" cm="1">
        <f t="array" ref="V58">IFERROR(INDEX(_xlfn.UNIQUE(TRIM(_xlfn.TEXTSPLIT(Table2[[#This Row],[Selection Options]:[Selection Options]],","))),,V$21),"")</f>
        <v/>
      </c>
      <c r="W58" s="29" t="str" cm="1">
        <f t="array" ref="W58">IFERROR(INDEX(_xlfn.UNIQUE(TRIM(_xlfn.TEXTSPLIT(Table2[[#This Row],[Selection Options]:[Selection Options]],","))),,W$21),"")</f>
        <v/>
      </c>
      <c r="X58" s="29" t="str" cm="1">
        <f t="array" ref="X58">IFERROR(INDEX(_xlfn.UNIQUE(TRIM(_xlfn.TEXTSPLIT(Table2[[#This Row],[Selection Options]:[Selection Options]],","))),,X$21),"")</f>
        <v/>
      </c>
      <c r="Y58" s="30" cm="1">
        <f t="array" ref="Y58">IF(Table2[[#This Row],[1]]="","",Table2[[#This Row],[Weight]:[Weight]]-(Table2[[#This Row],[Weight]:[Weight]]*((_xlfn.XMATCH(Table2[[#This Row],[1]],Table2[[#This Row],[1]:[11]],0))-1)/(COUNTA(Table2[[#This Row],[1]:[11]])-COUNTBLANK(Table2[[#This Row],[1]:[11]])-1)))</f>
        <v>9.7165991902834013E-3</v>
      </c>
      <c r="Z58" s="30" cm="1">
        <f t="array" ref="Z58">IF(Table2[[#This Row],[2]]="","",Table2[[#This Row],[Weight]:[Weight]]-(Table2[[#This Row],[Weight]:[Weight]]*((_xlfn.XMATCH(Table2[[#This Row],[2]],Table2[[#This Row],[1]:[11]],0))-1)/(COUNTA(Table2[[#This Row],[1]:[11]])-COUNTBLANK(Table2[[#This Row],[1]:[11]])-1)))</f>
        <v>4.8582995951417006E-3</v>
      </c>
      <c r="AA58" s="30" cm="1">
        <f t="array" ref="AA58">IF(Table2[[#This Row],[3]]="","",Table2[[#This Row],[Weight]:[Weight]]-(Table2[[#This Row],[Weight]:[Weight]]*((_xlfn.XMATCH(Table2[[#This Row],[3]],Table2[[#This Row],[1]:[11]],0))-1)/(COUNTA(Table2[[#This Row],[1]:[11]])-COUNTBLANK(Table2[[#This Row],[1]:[11]])-1)))</f>
        <v>0</v>
      </c>
      <c r="AB58" s="30" t="str" cm="1">
        <f t="array" ref="AB58">IF(Table2[[#This Row],[4]]="","",Table2[[#This Row],[Weight]:[Weight]]-(Table2[[#This Row],[Weight]:[Weight]]*((_xlfn.XMATCH(Table2[[#This Row],[4]],Table2[[#This Row],[1]:[11]],0))-1)/(COUNTA(Table2[[#This Row],[1]:[11]])-COUNTBLANK(Table2[[#This Row],[1]:[11]])-1)))</f>
        <v/>
      </c>
      <c r="AC58" s="30" t="str" cm="1">
        <f t="array" ref="AC58">IF(Table2[[#This Row],[5]]="","",Table2[[#This Row],[Weight]:[Weight]]-(Table2[[#This Row],[Weight]:[Weight]]*((_xlfn.XMATCH(Table2[[#This Row],[5]],Table2[[#This Row],[1]:[11]],0))-1)/(COUNTA(Table2[[#This Row],[1]:[11]])-COUNTBLANK(Table2[[#This Row],[1]:[11]])-1)))</f>
        <v/>
      </c>
      <c r="AD58" s="30" t="str" cm="1">
        <f t="array" ref="AD58">IF(Table2[[#This Row],[6]]="","",Table2[[#This Row],[Weight]:[Weight]]-(Table2[[#This Row],[Weight]:[Weight]]*((_xlfn.XMATCH(Table2[[#This Row],[6]],Table2[[#This Row],[1]:[11]],0))-1)/(COUNTA(Table2[[#This Row],[1]:[11]])-COUNTBLANK(Table2[[#This Row],[1]:[11]])-1)))</f>
        <v/>
      </c>
      <c r="AE58" s="30" t="str" cm="1">
        <f t="array" ref="AE58">IF(Table2[[#This Row],[7]]="","",Table2[[#This Row],[Weight]:[Weight]]-(Table2[[#This Row],[Weight]:[Weight]]*((_xlfn.XMATCH(Table2[[#This Row],[7]],Table2[[#This Row],[1]:[11]],0))-1)/(COUNTA(Table2[[#This Row],[1]:[11]])-COUNTBLANK(Table2[[#This Row],[1]:[11]])-1)))</f>
        <v/>
      </c>
      <c r="AF58" s="30" t="str" cm="1">
        <f t="array" ref="AF58">IF(Table2[[#This Row],[8]]="","",Table2[[#This Row],[Weight]:[Weight]]-(Table2[[#This Row],[Weight]:[Weight]]*((_xlfn.XMATCH(Table2[[#This Row],[8]],Table2[[#This Row],[1]:[11]],0))-1)/(COUNTA(Table2[[#This Row],[1]:[11]])-COUNTBLANK(Table2[[#This Row],[1]:[11]])-1)))</f>
        <v/>
      </c>
      <c r="AG58" s="41" t="str" cm="1">
        <f t="array" ref="AG58">IF(Table2[[#This Row],[9]]="","",Table2[[#This Row],[Weight]:[Weight]]-(Table2[[#This Row],[Weight]:[Weight]]*((_xlfn.XMATCH(Table2[[#This Row],[9]],Table2[[#This Row],[1]:[11]],0))-1)/(COUNTA(Table2[[#This Row],[1]:[11]])-COUNTBLANK(Table2[[#This Row],[1]:[11]])-1)))</f>
        <v/>
      </c>
      <c r="AH58" s="41" t="str" cm="1">
        <f t="array" ref="AH58">IF(Table2[[#This Row],[10]]="","",Table2[[#This Row],[Weight]:[Weight]]-(Table2[[#This Row],[Weight]:[Weight]]*((_xlfn.XMATCH(Table2[[#This Row],[10]],Table2[[#This Row],[1]:[11]],0))-1)/(COUNTA(Table2[[#This Row],[1]:[11]])-COUNTBLANK(Table2[[#This Row],[1]:[11]])-1)))</f>
        <v/>
      </c>
      <c r="AI58" s="41" t="str" cm="1">
        <f t="array" ref="AI58">IF(Table2[[#This Row],[11]]="","",Table2[[#This Row],[Weight]:[Weight]]-(Table2[[#This Row],[Weight]:[Weight]]*((_xlfn.XMATCH(Table2[[#This Row],[11]],Table2[[#This Row],[1]:[11]],0))-1)/(COUNTA(Table2[[#This Row],[1]:[11]])-COUNTBLANK(Table2[[#This Row],[1]:[11]])-1)))</f>
        <v/>
      </c>
    </row>
    <row r="59" spans="1:35" ht="72" x14ac:dyDescent="0.2">
      <c r="A59" s="117" t="s">
        <v>225</v>
      </c>
      <c r="B59" s="21" t="s">
        <v>226</v>
      </c>
      <c r="C59" s="204" t="s">
        <v>227</v>
      </c>
      <c r="D59" s="21"/>
      <c r="E59" s="21" t="s">
        <v>55</v>
      </c>
      <c r="F59" s="22" t="s">
        <v>60</v>
      </c>
      <c r="G59" s="23" cm="1">
        <f t="array" ref="G59">_xlfn.IFS(F59="","",F59="No interest",0,F59="Nice to have",1,F59="Useful",2,F59="Important",3,F59="Very important",4,F59="Critical",5,F59="Show stopper",6)</f>
        <v>6</v>
      </c>
      <c r="H59" s="24">
        <f t="shared" si="2"/>
        <v>9.7165991902834013E-3</v>
      </c>
      <c r="I59" s="25" t="s">
        <v>118</v>
      </c>
      <c r="J59" s="37" t="str" cm="1">
        <f t="array" ref="J59">_xlfn.TEXTJOIN(" "&amp;CHAR(10),,TEXT(SUBSTITUTE(Table2[[#This Row],[12]:[22]],".",","),"0,00%"))</f>
        <v>0,0097165991902834 
0,0048582995951417 
0,00%</v>
      </c>
      <c r="K59" s="26" t="s">
        <v>119</v>
      </c>
      <c r="L59" s="27">
        <f>H59-(H59*((MATCH(Table2[[#This Row],[Evaluators Response (SELECT)]],Table2[[#This Row],[1]:[11]],0)-1)/(COUNTA(Table2[[#This Row],[1]:[11]])-COUNTBLANK(Table2[[#This Row],[1]:[11]])-1)))</f>
        <v>9.7165991902834013E-3</v>
      </c>
      <c r="M59" s="28"/>
      <c r="N59" s="41" t="str" cm="1">
        <f t="array" ref="N59">IFERROR(INDEX(_xlfn.UNIQUE(TRIM(_xlfn.TEXTSPLIT(Table2[[#This Row],[Selection Options]:[Selection Options]],","))),,N$21),"")</f>
        <v>1. Extensive functionality available</v>
      </c>
      <c r="O59" s="29" t="str" cm="1">
        <f t="array" ref="O59">IFERROR(INDEX(_xlfn.UNIQUE(TRIM(_xlfn.TEXTSPLIT(Table2[[#This Row],[Selection Options]:[Selection Options]],","))),,O$21),"")</f>
        <v xml:space="preserve">
2. Limited functionality available</v>
      </c>
      <c r="P59" s="29" t="str" cm="1">
        <f t="array" ref="P59">IFERROR(INDEX(_xlfn.UNIQUE(TRIM(_xlfn.TEXTSPLIT(Table2[[#This Row],[Selection Options]:[Selection Options]],","))),,P$21),"")</f>
        <v xml:space="preserve">
3. Functionality not available</v>
      </c>
      <c r="Q59" s="29" t="str" cm="1">
        <f t="array" ref="Q59">IFERROR(INDEX(_xlfn.UNIQUE(TRIM(_xlfn.TEXTSPLIT(Table2[[#This Row],[Selection Options]:[Selection Options]],","))),,Q$21),"")</f>
        <v/>
      </c>
      <c r="R59" s="29" t="str" cm="1">
        <f t="array" ref="R59">IFERROR(INDEX(_xlfn.UNIQUE(TRIM(_xlfn.TEXTSPLIT(Table2[[#This Row],[Selection Options]:[Selection Options]],","))),,R$21),"")</f>
        <v/>
      </c>
      <c r="S59" s="29" t="str" cm="1">
        <f t="array" ref="S59">IFERROR(INDEX(_xlfn.UNIQUE(TRIM(_xlfn.TEXTSPLIT(Table2[[#This Row],[Selection Options]:[Selection Options]],","))),,S$21),"")</f>
        <v/>
      </c>
      <c r="T59" s="29" t="str" cm="1">
        <f t="array" ref="T59">IFERROR(INDEX(_xlfn.UNIQUE(TRIM(_xlfn.TEXTSPLIT(Table2[[#This Row],[Selection Options]:[Selection Options]],","))),,T$21),"")</f>
        <v/>
      </c>
      <c r="U59" s="29" t="str" cm="1">
        <f t="array" ref="U59">IFERROR(INDEX(_xlfn.UNIQUE(TRIM(_xlfn.TEXTSPLIT(Table2[[#This Row],[Selection Options]:[Selection Options]],","))),,U$21),"")</f>
        <v/>
      </c>
      <c r="V59" s="29" t="str" cm="1">
        <f t="array" ref="V59">IFERROR(INDEX(_xlfn.UNIQUE(TRIM(_xlfn.TEXTSPLIT(Table2[[#This Row],[Selection Options]:[Selection Options]],","))),,V$21),"")</f>
        <v/>
      </c>
      <c r="W59" s="29" t="str" cm="1">
        <f t="array" ref="W59">IFERROR(INDEX(_xlfn.UNIQUE(TRIM(_xlfn.TEXTSPLIT(Table2[[#This Row],[Selection Options]:[Selection Options]],","))),,W$21),"")</f>
        <v/>
      </c>
      <c r="X59" s="29" t="str" cm="1">
        <f t="array" ref="X59">IFERROR(INDEX(_xlfn.UNIQUE(TRIM(_xlfn.TEXTSPLIT(Table2[[#This Row],[Selection Options]:[Selection Options]],","))),,X$21),"")</f>
        <v/>
      </c>
      <c r="Y59" s="30" cm="1">
        <f t="array" ref="Y59">IF(Table2[[#This Row],[1]]="","",Table2[[#This Row],[Weight]:[Weight]]-(Table2[[#This Row],[Weight]:[Weight]]*((_xlfn.XMATCH(Table2[[#This Row],[1]],Table2[[#This Row],[1]:[11]],0))-1)/(COUNTA(Table2[[#This Row],[1]:[11]])-COUNTBLANK(Table2[[#This Row],[1]:[11]])-1)))</f>
        <v>9.7165991902834013E-3</v>
      </c>
      <c r="Z59" s="30" cm="1">
        <f t="array" ref="Z59">IF(Table2[[#This Row],[2]]="","",Table2[[#This Row],[Weight]:[Weight]]-(Table2[[#This Row],[Weight]:[Weight]]*((_xlfn.XMATCH(Table2[[#This Row],[2]],Table2[[#This Row],[1]:[11]],0))-1)/(COUNTA(Table2[[#This Row],[1]:[11]])-COUNTBLANK(Table2[[#This Row],[1]:[11]])-1)))</f>
        <v>4.8582995951417006E-3</v>
      </c>
      <c r="AA59" s="30" cm="1">
        <f t="array" ref="AA59">IF(Table2[[#This Row],[3]]="","",Table2[[#This Row],[Weight]:[Weight]]-(Table2[[#This Row],[Weight]:[Weight]]*((_xlfn.XMATCH(Table2[[#This Row],[3]],Table2[[#This Row],[1]:[11]],0))-1)/(COUNTA(Table2[[#This Row],[1]:[11]])-COUNTBLANK(Table2[[#This Row],[1]:[11]])-1)))</f>
        <v>0</v>
      </c>
      <c r="AB59" s="30" t="str" cm="1">
        <f t="array" ref="AB59">IF(Table2[[#This Row],[4]]="","",Table2[[#This Row],[Weight]:[Weight]]-(Table2[[#This Row],[Weight]:[Weight]]*((_xlfn.XMATCH(Table2[[#This Row],[4]],Table2[[#This Row],[1]:[11]],0))-1)/(COUNTA(Table2[[#This Row],[1]:[11]])-COUNTBLANK(Table2[[#This Row],[1]:[11]])-1)))</f>
        <v/>
      </c>
      <c r="AC59" s="30" t="str" cm="1">
        <f t="array" ref="AC59">IF(Table2[[#This Row],[5]]="","",Table2[[#This Row],[Weight]:[Weight]]-(Table2[[#This Row],[Weight]:[Weight]]*((_xlfn.XMATCH(Table2[[#This Row],[5]],Table2[[#This Row],[1]:[11]],0))-1)/(COUNTA(Table2[[#This Row],[1]:[11]])-COUNTBLANK(Table2[[#This Row],[1]:[11]])-1)))</f>
        <v/>
      </c>
      <c r="AD59" s="30" t="str" cm="1">
        <f t="array" ref="AD59">IF(Table2[[#This Row],[6]]="","",Table2[[#This Row],[Weight]:[Weight]]-(Table2[[#This Row],[Weight]:[Weight]]*((_xlfn.XMATCH(Table2[[#This Row],[6]],Table2[[#This Row],[1]:[11]],0))-1)/(COUNTA(Table2[[#This Row],[1]:[11]])-COUNTBLANK(Table2[[#This Row],[1]:[11]])-1)))</f>
        <v/>
      </c>
      <c r="AE59" s="30" t="str" cm="1">
        <f t="array" ref="AE59">IF(Table2[[#This Row],[7]]="","",Table2[[#This Row],[Weight]:[Weight]]-(Table2[[#This Row],[Weight]:[Weight]]*((_xlfn.XMATCH(Table2[[#This Row],[7]],Table2[[#This Row],[1]:[11]],0))-1)/(COUNTA(Table2[[#This Row],[1]:[11]])-COUNTBLANK(Table2[[#This Row],[1]:[11]])-1)))</f>
        <v/>
      </c>
      <c r="AF59" s="30" t="str" cm="1">
        <f t="array" ref="AF59">IF(Table2[[#This Row],[8]]="","",Table2[[#This Row],[Weight]:[Weight]]-(Table2[[#This Row],[Weight]:[Weight]]*((_xlfn.XMATCH(Table2[[#This Row],[8]],Table2[[#This Row],[1]:[11]],0))-1)/(COUNTA(Table2[[#This Row],[1]:[11]])-COUNTBLANK(Table2[[#This Row],[1]:[11]])-1)))</f>
        <v/>
      </c>
      <c r="AG59" s="41" t="str" cm="1">
        <f t="array" ref="AG59">IF(Table2[[#This Row],[9]]="","",Table2[[#This Row],[Weight]:[Weight]]-(Table2[[#This Row],[Weight]:[Weight]]*((_xlfn.XMATCH(Table2[[#This Row],[9]],Table2[[#This Row],[1]:[11]],0))-1)/(COUNTA(Table2[[#This Row],[1]:[11]])-COUNTBLANK(Table2[[#This Row],[1]:[11]])-1)))</f>
        <v/>
      </c>
      <c r="AH59" s="41" t="str" cm="1">
        <f t="array" ref="AH59">IF(Table2[[#This Row],[10]]="","",Table2[[#This Row],[Weight]:[Weight]]-(Table2[[#This Row],[Weight]:[Weight]]*((_xlfn.XMATCH(Table2[[#This Row],[10]],Table2[[#This Row],[1]:[11]],0))-1)/(COUNTA(Table2[[#This Row],[1]:[11]])-COUNTBLANK(Table2[[#This Row],[1]:[11]])-1)))</f>
        <v/>
      </c>
      <c r="AI59" s="41" t="str" cm="1">
        <f t="array" ref="AI59">IF(Table2[[#This Row],[11]]="","",Table2[[#This Row],[Weight]:[Weight]]-(Table2[[#This Row],[Weight]:[Weight]]*((_xlfn.XMATCH(Table2[[#This Row],[11]],Table2[[#This Row],[1]:[11]],0))-1)/(COUNTA(Table2[[#This Row],[1]:[11]])-COUNTBLANK(Table2[[#This Row],[1]:[11]])-1)))</f>
        <v/>
      </c>
    </row>
    <row r="60" spans="1:35" ht="72" x14ac:dyDescent="0.2">
      <c r="A60" s="117" t="s">
        <v>228</v>
      </c>
      <c r="B60" s="21" t="s">
        <v>229</v>
      </c>
      <c r="C60" s="204" t="s">
        <v>230</v>
      </c>
      <c r="D60" s="21"/>
      <c r="E60" s="21" t="s">
        <v>55</v>
      </c>
      <c r="F60" s="22" t="s">
        <v>60</v>
      </c>
      <c r="G60" s="23" cm="1">
        <f t="array" ref="G60">_xlfn.IFS(F60="","",F60="No interest",0,F60="Nice to have",1,F60="Useful",2,F60="Important",3,F60="Very important",4,F60="Critical",5,F60="Show stopper",6)</f>
        <v>6</v>
      </c>
      <c r="H60" s="24">
        <f t="shared" si="2"/>
        <v>9.7165991902834013E-3</v>
      </c>
      <c r="I60" s="25" t="s">
        <v>118</v>
      </c>
      <c r="J60" s="37" t="str" cm="1">
        <f t="array" ref="J60">_xlfn.TEXTJOIN(" "&amp;CHAR(10),,TEXT(SUBSTITUTE(Table2[[#This Row],[12]:[22]],".",","),"0,00%"))</f>
        <v>0,0097165991902834 
0,0048582995951417 
0,00%</v>
      </c>
      <c r="K60" s="26" t="s">
        <v>119</v>
      </c>
      <c r="L60" s="27">
        <f>H60-(H60*((MATCH(Table2[[#This Row],[Evaluators Response (SELECT)]],Table2[[#This Row],[1]:[11]],0)-1)/(COUNTA(Table2[[#This Row],[1]:[11]])-COUNTBLANK(Table2[[#This Row],[1]:[11]])-1)))</f>
        <v>9.7165991902834013E-3</v>
      </c>
      <c r="M60" s="28"/>
      <c r="N60" s="41" t="str" cm="1">
        <f t="array" ref="N60">IFERROR(INDEX(_xlfn.UNIQUE(TRIM(_xlfn.TEXTSPLIT(Table2[[#This Row],[Selection Options]:[Selection Options]],","))),,N$21),"")</f>
        <v>1. Extensive functionality available</v>
      </c>
      <c r="O60" s="29" t="str" cm="1">
        <f t="array" ref="O60">IFERROR(INDEX(_xlfn.UNIQUE(TRIM(_xlfn.TEXTSPLIT(Table2[[#This Row],[Selection Options]:[Selection Options]],","))),,O$21),"")</f>
        <v xml:space="preserve">
2. Limited functionality available</v>
      </c>
      <c r="P60" s="29" t="str" cm="1">
        <f t="array" ref="P60">IFERROR(INDEX(_xlfn.UNIQUE(TRIM(_xlfn.TEXTSPLIT(Table2[[#This Row],[Selection Options]:[Selection Options]],","))),,P$21),"")</f>
        <v xml:space="preserve">
3. Functionality not available</v>
      </c>
      <c r="Q60" s="29" t="str" cm="1">
        <f t="array" ref="Q60">IFERROR(INDEX(_xlfn.UNIQUE(TRIM(_xlfn.TEXTSPLIT(Table2[[#This Row],[Selection Options]:[Selection Options]],","))),,Q$21),"")</f>
        <v/>
      </c>
      <c r="R60" s="29" t="str" cm="1">
        <f t="array" ref="R60">IFERROR(INDEX(_xlfn.UNIQUE(TRIM(_xlfn.TEXTSPLIT(Table2[[#This Row],[Selection Options]:[Selection Options]],","))),,R$21),"")</f>
        <v/>
      </c>
      <c r="S60" s="29" t="str" cm="1">
        <f t="array" ref="S60">IFERROR(INDEX(_xlfn.UNIQUE(TRIM(_xlfn.TEXTSPLIT(Table2[[#This Row],[Selection Options]:[Selection Options]],","))),,S$21),"")</f>
        <v/>
      </c>
      <c r="T60" s="29" t="str" cm="1">
        <f t="array" ref="T60">IFERROR(INDEX(_xlfn.UNIQUE(TRIM(_xlfn.TEXTSPLIT(Table2[[#This Row],[Selection Options]:[Selection Options]],","))),,T$21),"")</f>
        <v/>
      </c>
      <c r="U60" s="29" t="str" cm="1">
        <f t="array" ref="U60">IFERROR(INDEX(_xlfn.UNIQUE(TRIM(_xlfn.TEXTSPLIT(Table2[[#This Row],[Selection Options]:[Selection Options]],","))),,U$21),"")</f>
        <v/>
      </c>
      <c r="V60" s="29" t="str" cm="1">
        <f t="array" ref="V60">IFERROR(INDEX(_xlfn.UNIQUE(TRIM(_xlfn.TEXTSPLIT(Table2[[#This Row],[Selection Options]:[Selection Options]],","))),,V$21),"")</f>
        <v/>
      </c>
      <c r="W60" s="29" t="str" cm="1">
        <f t="array" ref="W60">IFERROR(INDEX(_xlfn.UNIQUE(TRIM(_xlfn.TEXTSPLIT(Table2[[#This Row],[Selection Options]:[Selection Options]],","))),,W$21),"")</f>
        <v/>
      </c>
      <c r="X60" s="29" t="str" cm="1">
        <f t="array" ref="X60">IFERROR(INDEX(_xlfn.UNIQUE(TRIM(_xlfn.TEXTSPLIT(Table2[[#This Row],[Selection Options]:[Selection Options]],","))),,X$21),"")</f>
        <v/>
      </c>
      <c r="Y60" s="30" cm="1">
        <f t="array" ref="Y60">IF(Table2[[#This Row],[1]]="","",Table2[[#This Row],[Weight]:[Weight]]-(Table2[[#This Row],[Weight]:[Weight]]*((_xlfn.XMATCH(Table2[[#This Row],[1]],Table2[[#This Row],[1]:[11]],0))-1)/(COUNTA(Table2[[#This Row],[1]:[11]])-COUNTBLANK(Table2[[#This Row],[1]:[11]])-1)))</f>
        <v>9.7165991902834013E-3</v>
      </c>
      <c r="Z60" s="30" cm="1">
        <f t="array" ref="Z60">IF(Table2[[#This Row],[2]]="","",Table2[[#This Row],[Weight]:[Weight]]-(Table2[[#This Row],[Weight]:[Weight]]*((_xlfn.XMATCH(Table2[[#This Row],[2]],Table2[[#This Row],[1]:[11]],0))-1)/(COUNTA(Table2[[#This Row],[1]:[11]])-COUNTBLANK(Table2[[#This Row],[1]:[11]])-1)))</f>
        <v>4.8582995951417006E-3</v>
      </c>
      <c r="AA60" s="30" cm="1">
        <f t="array" ref="AA60">IF(Table2[[#This Row],[3]]="","",Table2[[#This Row],[Weight]:[Weight]]-(Table2[[#This Row],[Weight]:[Weight]]*((_xlfn.XMATCH(Table2[[#This Row],[3]],Table2[[#This Row],[1]:[11]],0))-1)/(COUNTA(Table2[[#This Row],[1]:[11]])-COUNTBLANK(Table2[[#This Row],[1]:[11]])-1)))</f>
        <v>0</v>
      </c>
      <c r="AB60" s="30" t="str" cm="1">
        <f t="array" ref="AB60">IF(Table2[[#This Row],[4]]="","",Table2[[#This Row],[Weight]:[Weight]]-(Table2[[#This Row],[Weight]:[Weight]]*((_xlfn.XMATCH(Table2[[#This Row],[4]],Table2[[#This Row],[1]:[11]],0))-1)/(COUNTA(Table2[[#This Row],[1]:[11]])-COUNTBLANK(Table2[[#This Row],[1]:[11]])-1)))</f>
        <v/>
      </c>
      <c r="AC60" s="30" t="str" cm="1">
        <f t="array" ref="AC60">IF(Table2[[#This Row],[5]]="","",Table2[[#This Row],[Weight]:[Weight]]-(Table2[[#This Row],[Weight]:[Weight]]*((_xlfn.XMATCH(Table2[[#This Row],[5]],Table2[[#This Row],[1]:[11]],0))-1)/(COUNTA(Table2[[#This Row],[1]:[11]])-COUNTBLANK(Table2[[#This Row],[1]:[11]])-1)))</f>
        <v/>
      </c>
      <c r="AD60" s="30" t="str" cm="1">
        <f t="array" ref="AD60">IF(Table2[[#This Row],[6]]="","",Table2[[#This Row],[Weight]:[Weight]]-(Table2[[#This Row],[Weight]:[Weight]]*((_xlfn.XMATCH(Table2[[#This Row],[6]],Table2[[#This Row],[1]:[11]],0))-1)/(COUNTA(Table2[[#This Row],[1]:[11]])-COUNTBLANK(Table2[[#This Row],[1]:[11]])-1)))</f>
        <v/>
      </c>
      <c r="AE60" s="30" t="str" cm="1">
        <f t="array" ref="AE60">IF(Table2[[#This Row],[7]]="","",Table2[[#This Row],[Weight]:[Weight]]-(Table2[[#This Row],[Weight]:[Weight]]*((_xlfn.XMATCH(Table2[[#This Row],[7]],Table2[[#This Row],[1]:[11]],0))-1)/(COUNTA(Table2[[#This Row],[1]:[11]])-COUNTBLANK(Table2[[#This Row],[1]:[11]])-1)))</f>
        <v/>
      </c>
      <c r="AF60" s="30" t="str" cm="1">
        <f t="array" ref="AF60">IF(Table2[[#This Row],[8]]="","",Table2[[#This Row],[Weight]:[Weight]]-(Table2[[#This Row],[Weight]:[Weight]]*((_xlfn.XMATCH(Table2[[#This Row],[8]],Table2[[#This Row],[1]:[11]],0))-1)/(COUNTA(Table2[[#This Row],[1]:[11]])-COUNTBLANK(Table2[[#This Row],[1]:[11]])-1)))</f>
        <v/>
      </c>
      <c r="AG60" s="41" t="str" cm="1">
        <f t="array" ref="AG60">IF(Table2[[#This Row],[9]]="","",Table2[[#This Row],[Weight]:[Weight]]-(Table2[[#This Row],[Weight]:[Weight]]*((_xlfn.XMATCH(Table2[[#This Row],[9]],Table2[[#This Row],[1]:[11]],0))-1)/(COUNTA(Table2[[#This Row],[1]:[11]])-COUNTBLANK(Table2[[#This Row],[1]:[11]])-1)))</f>
        <v/>
      </c>
      <c r="AH60" s="41" t="str" cm="1">
        <f t="array" ref="AH60">IF(Table2[[#This Row],[10]]="","",Table2[[#This Row],[Weight]:[Weight]]-(Table2[[#This Row],[Weight]:[Weight]]*((_xlfn.XMATCH(Table2[[#This Row],[10]],Table2[[#This Row],[1]:[11]],0))-1)/(COUNTA(Table2[[#This Row],[1]:[11]])-COUNTBLANK(Table2[[#This Row],[1]:[11]])-1)))</f>
        <v/>
      </c>
      <c r="AI60" s="41" t="str" cm="1">
        <f t="array" ref="AI60">IF(Table2[[#This Row],[11]]="","",Table2[[#This Row],[Weight]:[Weight]]-(Table2[[#This Row],[Weight]:[Weight]]*((_xlfn.XMATCH(Table2[[#This Row],[11]],Table2[[#This Row],[1]:[11]],0))-1)/(COUNTA(Table2[[#This Row],[1]:[11]])-COUNTBLANK(Table2[[#This Row],[1]:[11]])-1)))</f>
        <v/>
      </c>
    </row>
    <row r="61" spans="1:35" ht="72" x14ac:dyDescent="0.2">
      <c r="A61" s="117" t="s">
        <v>231</v>
      </c>
      <c r="B61" s="21" t="s">
        <v>232</v>
      </c>
      <c r="C61" s="204" t="s">
        <v>233</v>
      </c>
      <c r="D61" s="21"/>
      <c r="E61" s="21" t="s">
        <v>55</v>
      </c>
      <c r="F61" s="22" t="s">
        <v>60</v>
      </c>
      <c r="G61" s="23" cm="1">
        <f t="array" ref="G61">_xlfn.IFS(F61="","",F61="No interest",0,F61="Nice to have",1,F61="Useful",2,F61="Important",3,F61="Very important",4,F61="Critical",5,F61="Show stopper",6)</f>
        <v>6</v>
      </c>
      <c r="H61" s="24">
        <f t="shared" ref="H61:H65" si="3">(G61/$G$21)*$F$21</f>
        <v>9.7165991902834013E-3</v>
      </c>
      <c r="I61" s="25" t="s">
        <v>118</v>
      </c>
      <c r="J61" s="37" t="str" cm="1">
        <f t="array" ref="J61">_xlfn.TEXTJOIN(" "&amp;CHAR(10),,TEXT(SUBSTITUTE(Table2[[#This Row],[12]:[22]],".",","),"0,00%"))</f>
        <v>0,0097165991902834 
0,0048582995951417 
0,00%</v>
      </c>
      <c r="K61" s="26" t="s">
        <v>119</v>
      </c>
      <c r="L61" s="27">
        <f>H61-(H61*((MATCH(Table2[[#This Row],[Evaluators Response (SELECT)]],Table2[[#This Row],[1]:[11]],0)-1)/(COUNTA(Table2[[#This Row],[1]:[11]])-COUNTBLANK(Table2[[#This Row],[1]:[11]])-1)))</f>
        <v>9.7165991902834013E-3</v>
      </c>
      <c r="M61" s="28"/>
      <c r="N61" s="41" t="str" cm="1">
        <f t="array" ref="N61">IFERROR(INDEX(_xlfn.UNIQUE(TRIM(_xlfn.TEXTSPLIT(Table2[[#This Row],[Selection Options]:[Selection Options]],","))),,N$21),"")</f>
        <v>1. Extensive functionality available</v>
      </c>
      <c r="O61" s="29" t="str" cm="1">
        <f t="array" ref="O61">IFERROR(INDEX(_xlfn.UNIQUE(TRIM(_xlfn.TEXTSPLIT(Table2[[#This Row],[Selection Options]:[Selection Options]],","))),,O$21),"")</f>
        <v xml:space="preserve">
2. Limited functionality available</v>
      </c>
      <c r="P61" s="29" t="str" cm="1">
        <f t="array" ref="P61">IFERROR(INDEX(_xlfn.UNIQUE(TRIM(_xlfn.TEXTSPLIT(Table2[[#This Row],[Selection Options]:[Selection Options]],","))),,P$21),"")</f>
        <v xml:space="preserve">
3. Functionality not available</v>
      </c>
      <c r="Q61" s="29" t="str" cm="1">
        <f t="array" ref="Q61">IFERROR(INDEX(_xlfn.UNIQUE(TRIM(_xlfn.TEXTSPLIT(Table2[[#This Row],[Selection Options]:[Selection Options]],","))),,Q$21),"")</f>
        <v/>
      </c>
      <c r="R61" s="29" t="str" cm="1">
        <f t="array" ref="R61">IFERROR(INDEX(_xlfn.UNIQUE(TRIM(_xlfn.TEXTSPLIT(Table2[[#This Row],[Selection Options]:[Selection Options]],","))),,R$21),"")</f>
        <v/>
      </c>
      <c r="S61" s="29" t="str" cm="1">
        <f t="array" ref="S61">IFERROR(INDEX(_xlfn.UNIQUE(TRIM(_xlfn.TEXTSPLIT(Table2[[#This Row],[Selection Options]:[Selection Options]],","))),,S$21),"")</f>
        <v/>
      </c>
      <c r="T61" s="29" t="str" cm="1">
        <f t="array" ref="T61">IFERROR(INDEX(_xlfn.UNIQUE(TRIM(_xlfn.TEXTSPLIT(Table2[[#This Row],[Selection Options]:[Selection Options]],","))),,T$21),"")</f>
        <v/>
      </c>
      <c r="U61" s="29" t="str" cm="1">
        <f t="array" ref="U61">IFERROR(INDEX(_xlfn.UNIQUE(TRIM(_xlfn.TEXTSPLIT(Table2[[#This Row],[Selection Options]:[Selection Options]],","))),,U$21),"")</f>
        <v/>
      </c>
      <c r="V61" s="29" t="str" cm="1">
        <f t="array" ref="V61">IFERROR(INDEX(_xlfn.UNIQUE(TRIM(_xlfn.TEXTSPLIT(Table2[[#This Row],[Selection Options]:[Selection Options]],","))),,V$21),"")</f>
        <v/>
      </c>
      <c r="W61" s="29" t="str" cm="1">
        <f t="array" ref="W61">IFERROR(INDEX(_xlfn.UNIQUE(TRIM(_xlfn.TEXTSPLIT(Table2[[#This Row],[Selection Options]:[Selection Options]],","))),,W$21),"")</f>
        <v/>
      </c>
      <c r="X61" s="29" t="str" cm="1">
        <f t="array" ref="X61">IFERROR(INDEX(_xlfn.UNIQUE(TRIM(_xlfn.TEXTSPLIT(Table2[[#This Row],[Selection Options]:[Selection Options]],","))),,X$21),"")</f>
        <v/>
      </c>
      <c r="Y61" s="30" cm="1">
        <f t="array" ref="Y61">IF(Table2[[#This Row],[1]]="","",Table2[[#This Row],[Weight]:[Weight]]-(Table2[[#This Row],[Weight]:[Weight]]*((_xlfn.XMATCH(Table2[[#This Row],[1]],Table2[[#This Row],[1]:[11]],0))-1)/(COUNTA(Table2[[#This Row],[1]:[11]])-COUNTBLANK(Table2[[#This Row],[1]:[11]])-1)))</f>
        <v>9.7165991902834013E-3</v>
      </c>
      <c r="Z61" s="30" cm="1">
        <f t="array" ref="Z61">IF(Table2[[#This Row],[2]]="","",Table2[[#This Row],[Weight]:[Weight]]-(Table2[[#This Row],[Weight]:[Weight]]*((_xlfn.XMATCH(Table2[[#This Row],[2]],Table2[[#This Row],[1]:[11]],0))-1)/(COUNTA(Table2[[#This Row],[1]:[11]])-COUNTBLANK(Table2[[#This Row],[1]:[11]])-1)))</f>
        <v>4.8582995951417006E-3</v>
      </c>
      <c r="AA61" s="30" cm="1">
        <f t="array" ref="AA61">IF(Table2[[#This Row],[3]]="","",Table2[[#This Row],[Weight]:[Weight]]-(Table2[[#This Row],[Weight]:[Weight]]*((_xlfn.XMATCH(Table2[[#This Row],[3]],Table2[[#This Row],[1]:[11]],0))-1)/(COUNTA(Table2[[#This Row],[1]:[11]])-COUNTBLANK(Table2[[#This Row],[1]:[11]])-1)))</f>
        <v>0</v>
      </c>
      <c r="AB61" s="30" t="str" cm="1">
        <f t="array" ref="AB61">IF(Table2[[#This Row],[4]]="","",Table2[[#This Row],[Weight]:[Weight]]-(Table2[[#This Row],[Weight]:[Weight]]*((_xlfn.XMATCH(Table2[[#This Row],[4]],Table2[[#This Row],[1]:[11]],0))-1)/(COUNTA(Table2[[#This Row],[1]:[11]])-COUNTBLANK(Table2[[#This Row],[1]:[11]])-1)))</f>
        <v/>
      </c>
      <c r="AC61" s="30" t="str" cm="1">
        <f t="array" ref="AC61">IF(Table2[[#This Row],[5]]="","",Table2[[#This Row],[Weight]:[Weight]]-(Table2[[#This Row],[Weight]:[Weight]]*((_xlfn.XMATCH(Table2[[#This Row],[5]],Table2[[#This Row],[1]:[11]],0))-1)/(COUNTA(Table2[[#This Row],[1]:[11]])-COUNTBLANK(Table2[[#This Row],[1]:[11]])-1)))</f>
        <v/>
      </c>
      <c r="AD61" s="30" t="str" cm="1">
        <f t="array" ref="AD61">IF(Table2[[#This Row],[6]]="","",Table2[[#This Row],[Weight]:[Weight]]-(Table2[[#This Row],[Weight]:[Weight]]*((_xlfn.XMATCH(Table2[[#This Row],[6]],Table2[[#This Row],[1]:[11]],0))-1)/(COUNTA(Table2[[#This Row],[1]:[11]])-COUNTBLANK(Table2[[#This Row],[1]:[11]])-1)))</f>
        <v/>
      </c>
      <c r="AE61" s="30" t="str" cm="1">
        <f t="array" ref="AE61">IF(Table2[[#This Row],[7]]="","",Table2[[#This Row],[Weight]:[Weight]]-(Table2[[#This Row],[Weight]:[Weight]]*((_xlfn.XMATCH(Table2[[#This Row],[7]],Table2[[#This Row],[1]:[11]],0))-1)/(COUNTA(Table2[[#This Row],[1]:[11]])-COUNTBLANK(Table2[[#This Row],[1]:[11]])-1)))</f>
        <v/>
      </c>
      <c r="AF61" s="30" t="str" cm="1">
        <f t="array" ref="AF61">IF(Table2[[#This Row],[8]]="","",Table2[[#This Row],[Weight]:[Weight]]-(Table2[[#This Row],[Weight]:[Weight]]*((_xlfn.XMATCH(Table2[[#This Row],[8]],Table2[[#This Row],[1]:[11]],0))-1)/(COUNTA(Table2[[#This Row],[1]:[11]])-COUNTBLANK(Table2[[#This Row],[1]:[11]])-1)))</f>
        <v/>
      </c>
      <c r="AG61" s="41" t="str" cm="1">
        <f t="array" ref="AG61">IF(Table2[[#This Row],[9]]="","",Table2[[#This Row],[Weight]:[Weight]]-(Table2[[#This Row],[Weight]:[Weight]]*((_xlfn.XMATCH(Table2[[#This Row],[9]],Table2[[#This Row],[1]:[11]],0))-1)/(COUNTA(Table2[[#This Row],[1]:[11]])-COUNTBLANK(Table2[[#This Row],[1]:[11]])-1)))</f>
        <v/>
      </c>
      <c r="AH61" s="41" t="str" cm="1">
        <f t="array" ref="AH61">IF(Table2[[#This Row],[10]]="","",Table2[[#This Row],[Weight]:[Weight]]-(Table2[[#This Row],[Weight]:[Weight]]*((_xlfn.XMATCH(Table2[[#This Row],[10]],Table2[[#This Row],[1]:[11]],0))-1)/(COUNTA(Table2[[#This Row],[1]:[11]])-COUNTBLANK(Table2[[#This Row],[1]:[11]])-1)))</f>
        <v/>
      </c>
      <c r="AI61" s="41" t="str" cm="1">
        <f t="array" ref="AI61">IF(Table2[[#This Row],[11]]="","",Table2[[#This Row],[Weight]:[Weight]]-(Table2[[#This Row],[Weight]:[Weight]]*((_xlfn.XMATCH(Table2[[#This Row],[11]],Table2[[#This Row],[1]:[11]],0))-1)/(COUNTA(Table2[[#This Row],[1]:[11]])-COUNTBLANK(Table2[[#This Row],[1]:[11]])-1)))</f>
        <v/>
      </c>
    </row>
    <row r="62" spans="1:35" ht="72" x14ac:dyDescent="0.2">
      <c r="A62" s="117" t="s">
        <v>234</v>
      </c>
      <c r="B62" s="21" t="s">
        <v>235</v>
      </c>
      <c r="C62" s="204" t="s">
        <v>236</v>
      </c>
      <c r="D62" s="21"/>
      <c r="E62" s="21" t="s">
        <v>55</v>
      </c>
      <c r="F62" s="22" t="s">
        <v>60</v>
      </c>
      <c r="G62" s="23" cm="1">
        <f t="array" ref="G62">_xlfn.IFS(F62="","",F62="No interest",0,F62="Nice to have",1,F62="Useful",2,F62="Important",3,F62="Very important",4,F62="Critical",5,F62="Show stopper",6)</f>
        <v>6</v>
      </c>
      <c r="H62" s="24">
        <f t="shared" si="3"/>
        <v>9.7165991902834013E-3</v>
      </c>
      <c r="I62" s="25" t="s">
        <v>118</v>
      </c>
      <c r="J62" s="37" t="str" cm="1">
        <f t="array" ref="J62">_xlfn.TEXTJOIN(" "&amp;CHAR(10),,TEXT(SUBSTITUTE(Table2[[#This Row],[12]:[22]],".",","),"0,00%"))</f>
        <v>0,0097165991902834 
0,0048582995951417 
0,00%</v>
      </c>
      <c r="K62" s="26" t="s">
        <v>119</v>
      </c>
      <c r="L62" s="27">
        <f>H62-(H62*((MATCH(Table2[[#This Row],[Evaluators Response (SELECT)]],Table2[[#This Row],[1]:[11]],0)-1)/(COUNTA(Table2[[#This Row],[1]:[11]])-COUNTBLANK(Table2[[#This Row],[1]:[11]])-1)))</f>
        <v>9.7165991902834013E-3</v>
      </c>
      <c r="M62" s="28"/>
      <c r="N62" s="41" t="str" cm="1">
        <f t="array" ref="N62">IFERROR(INDEX(_xlfn.UNIQUE(TRIM(_xlfn.TEXTSPLIT(Table2[[#This Row],[Selection Options]:[Selection Options]],","))),,N$21),"")</f>
        <v>1. Extensive functionality available</v>
      </c>
      <c r="O62" s="29" t="str" cm="1">
        <f t="array" ref="O62">IFERROR(INDEX(_xlfn.UNIQUE(TRIM(_xlfn.TEXTSPLIT(Table2[[#This Row],[Selection Options]:[Selection Options]],","))),,O$21),"")</f>
        <v xml:space="preserve">
2. Limited functionality available</v>
      </c>
      <c r="P62" s="29" t="str" cm="1">
        <f t="array" ref="P62">IFERROR(INDEX(_xlfn.UNIQUE(TRIM(_xlfn.TEXTSPLIT(Table2[[#This Row],[Selection Options]:[Selection Options]],","))),,P$21),"")</f>
        <v xml:space="preserve">
3. Functionality not available</v>
      </c>
      <c r="Q62" s="29" t="str" cm="1">
        <f t="array" ref="Q62">IFERROR(INDEX(_xlfn.UNIQUE(TRIM(_xlfn.TEXTSPLIT(Table2[[#This Row],[Selection Options]:[Selection Options]],","))),,Q$21),"")</f>
        <v/>
      </c>
      <c r="R62" s="29" t="str" cm="1">
        <f t="array" ref="R62">IFERROR(INDEX(_xlfn.UNIQUE(TRIM(_xlfn.TEXTSPLIT(Table2[[#This Row],[Selection Options]:[Selection Options]],","))),,R$21),"")</f>
        <v/>
      </c>
      <c r="S62" s="29" t="str" cm="1">
        <f t="array" ref="S62">IFERROR(INDEX(_xlfn.UNIQUE(TRIM(_xlfn.TEXTSPLIT(Table2[[#This Row],[Selection Options]:[Selection Options]],","))),,S$21),"")</f>
        <v/>
      </c>
      <c r="T62" s="29" t="str" cm="1">
        <f t="array" ref="T62">IFERROR(INDEX(_xlfn.UNIQUE(TRIM(_xlfn.TEXTSPLIT(Table2[[#This Row],[Selection Options]:[Selection Options]],","))),,T$21),"")</f>
        <v/>
      </c>
      <c r="U62" s="29" t="str" cm="1">
        <f t="array" ref="U62">IFERROR(INDEX(_xlfn.UNIQUE(TRIM(_xlfn.TEXTSPLIT(Table2[[#This Row],[Selection Options]:[Selection Options]],","))),,U$21),"")</f>
        <v/>
      </c>
      <c r="V62" s="29" t="str" cm="1">
        <f t="array" ref="V62">IFERROR(INDEX(_xlfn.UNIQUE(TRIM(_xlfn.TEXTSPLIT(Table2[[#This Row],[Selection Options]:[Selection Options]],","))),,V$21),"")</f>
        <v/>
      </c>
      <c r="W62" s="29" t="str" cm="1">
        <f t="array" ref="W62">IFERROR(INDEX(_xlfn.UNIQUE(TRIM(_xlfn.TEXTSPLIT(Table2[[#This Row],[Selection Options]:[Selection Options]],","))),,W$21),"")</f>
        <v/>
      </c>
      <c r="X62" s="29" t="str" cm="1">
        <f t="array" ref="X62">IFERROR(INDEX(_xlfn.UNIQUE(TRIM(_xlfn.TEXTSPLIT(Table2[[#This Row],[Selection Options]:[Selection Options]],","))),,X$21),"")</f>
        <v/>
      </c>
      <c r="Y62" s="30" cm="1">
        <f t="array" ref="Y62">IF(Table2[[#This Row],[1]]="","",Table2[[#This Row],[Weight]:[Weight]]-(Table2[[#This Row],[Weight]:[Weight]]*((_xlfn.XMATCH(Table2[[#This Row],[1]],Table2[[#This Row],[1]:[11]],0))-1)/(COUNTA(Table2[[#This Row],[1]:[11]])-COUNTBLANK(Table2[[#This Row],[1]:[11]])-1)))</f>
        <v>9.7165991902834013E-3</v>
      </c>
      <c r="Z62" s="30" cm="1">
        <f t="array" ref="Z62">IF(Table2[[#This Row],[2]]="","",Table2[[#This Row],[Weight]:[Weight]]-(Table2[[#This Row],[Weight]:[Weight]]*((_xlfn.XMATCH(Table2[[#This Row],[2]],Table2[[#This Row],[1]:[11]],0))-1)/(COUNTA(Table2[[#This Row],[1]:[11]])-COUNTBLANK(Table2[[#This Row],[1]:[11]])-1)))</f>
        <v>4.8582995951417006E-3</v>
      </c>
      <c r="AA62" s="30" cm="1">
        <f t="array" ref="AA62">IF(Table2[[#This Row],[3]]="","",Table2[[#This Row],[Weight]:[Weight]]-(Table2[[#This Row],[Weight]:[Weight]]*((_xlfn.XMATCH(Table2[[#This Row],[3]],Table2[[#This Row],[1]:[11]],0))-1)/(COUNTA(Table2[[#This Row],[1]:[11]])-COUNTBLANK(Table2[[#This Row],[1]:[11]])-1)))</f>
        <v>0</v>
      </c>
      <c r="AB62" s="30" t="str" cm="1">
        <f t="array" ref="AB62">IF(Table2[[#This Row],[4]]="","",Table2[[#This Row],[Weight]:[Weight]]-(Table2[[#This Row],[Weight]:[Weight]]*((_xlfn.XMATCH(Table2[[#This Row],[4]],Table2[[#This Row],[1]:[11]],0))-1)/(COUNTA(Table2[[#This Row],[1]:[11]])-COUNTBLANK(Table2[[#This Row],[1]:[11]])-1)))</f>
        <v/>
      </c>
      <c r="AC62" s="30" t="str" cm="1">
        <f t="array" ref="AC62">IF(Table2[[#This Row],[5]]="","",Table2[[#This Row],[Weight]:[Weight]]-(Table2[[#This Row],[Weight]:[Weight]]*((_xlfn.XMATCH(Table2[[#This Row],[5]],Table2[[#This Row],[1]:[11]],0))-1)/(COUNTA(Table2[[#This Row],[1]:[11]])-COUNTBLANK(Table2[[#This Row],[1]:[11]])-1)))</f>
        <v/>
      </c>
      <c r="AD62" s="30" t="str" cm="1">
        <f t="array" ref="AD62">IF(Table2[[#This Row],[6]]="","",Table2[[#This Row],[Weight]:[Weight]]-(Table2[[#This Row],[Weight]:[Weight]]*((_xlfn.XMATCH(Table2[[#This Row],[6]],Table2[[#This Row],[1]:[11]],0))-1)/(COUNTA(Table2[[#This Row],[1]:[11]])-COUNTBLANK(Table2[[#This Row],[1]:[11]])-1)))</f>
        <v/>
      </c>
      <c r="AE62" s="30" t="str" cm="1">
        <f t="array" ref="AE62">IF(Table2[[#This Row],[7]]="","",Table2[[#This Row],[Weight]:[Weight]]-(Table2[[#This Row],[Weight]:[Weight]]*((_xlfn.XMATCH(Table2[[#This Row],[7]],Table2[[#This Row],[1]:[11]],0))-1)/(COUNTA(Table2[[#This Row],[1]:[11]])-COUNTBLANK(Table2[[#This Row],[1]:[11]])-1)))</f>
        <v/>
      </c>
      <c r="AF62" s="30" t="str" cm="1">
        <f t="array" ref="AF62">IF(Table2[[#This Row],[8]]="","",Table2[[#This Row],[Weight]:[Weight]]-(Table2[[#This Row],[Weight]:[Weight]]*((_xlfn.XMATCH(Table2[[#This Row],[8]],Table2[[#This Row],[1]:[11]],0))-1)/(COUNTA(Table2[[#This Row],[1]:[11]])-COUNTBLANK(Table2[[#This Row],[1]:[11]])-1)))</f>
        <v/>
      </c>
      <c r="AG62" s="41" t="str" cm="1">
        <f t="array" ref="AG62">IF(Table2[[#This Row],[9]]="","",Table2[[#This Row],[Weight]:[Weight]]-(Table2[[#This Row],[Weight]:[Weight]]*((_xlfn.XMATCH(Table2[[#This Row],[9]],Table2[[#This Row],[1]:[11]],0))-1)/(COUNTA(Table2[[#This Row],[1]:[11]])-COUNTBLANK(Table2[[#This Row],[1]:[11]])-1)))</f>
        <v/>
      </c>
      <c r="AH62" s="41" t="str" cm="1">
        <f t="array" ref="AH62">IF(Table2[[#This Row],[10]]="","",Table2[[#This Row],[Weight]:[Weight]]-(Table2[[#This Row],[Weight]:[Weight]]*((_xlfn.XMATCH(Table2[[#This Row],[10]],Table2[[#This Row],[1]:[11]],0))-1)/(COUNTA(Table2[[#This Row],[1]:[11]])-COUNTBLANK(Table2[[#This Row],[1]:[11]])-1)))</f>
        <v/>
      </c>
      <c r="AI62" s="41" t="str" cm="1">
        <f t="array" ref="AI62">IF(Table2[[#This Row],[11]]="","",Table2[[#This Row],[Weight]:[Weight]]-(Table2[[#This Row],[Weight]:[Weight]]*((_xlfn.XMATCH(Table2[[#This Row],[11]],Table2[[#This Row],[1]:[11]],0))-1)/(COUNTA(Table2[[#This Row],[1]:[11]])-COUNTBLANK(Table2[[#This Row],[1]:[11]])-1)))</f>
        <v/>
      </c>
    </row>
    <row r="63" spans="1:35" ht="72" x14ac:dyDescent="0.2">
      <c r="A63" s="117" t="s">
        <v>237</v>
      </c>
      <c r="B63" s="21" t="s">
        <v>238</v>
      </c>
      <c r="C63" s="204" t="s">
        <v>239</v>
      </c>
      <c r="D63" s="21"/>
      <c r="E63" s="21" t="s">
        <v>55</v>
      </c>
      <c r="F63" s="22" t="s">
        <v>60</v>
      </c>
      <c r="G63" s="23" cm="1">
        <f t="array" ref="G63">_xlfn.IFS(F63="","",F63="No interest",0,F63="Nice to have",1,F63="Useful",2,F63="Important",3,F63="Very important",4,F63="Critical",5,F63="Show stopper",6)</f>
        <v>6</v>
      </c>
      <c r="H63" s="24">
        <f t="shared" si="3"/>
        <v>9.7165991902834013E-3</v>
      </c>
      <c r="I63" s="25" t="s">
        <v>118</v>
      </c>
      <c r="J63" s="37" t="str" cm="1">
        <f t="array" ref="J63">_xlfn.TEXTJOIN(" "&amp;CHAR(10),,TEXT(SUBSTITUTE(Table2[[#This Row],[12]:[22]],".",","),"0,00%"))</f>
        <v>0,0097165991902834 
0,0048582995951417 
0,00%</v>
      </c>
      <c r="K63" s="26" t="s">
        <v>119</v>
      </c>
      <c r="L63" s="27">
        <f>H63-(H63*((MATCH(Table2[[#This Row],[Evaluators Response (SELECT)]],Table2[[#This Row],[1]:[11]],0)-1)/(COUNTA(Table2[[#This Row],[1]:[11]])-COUNTBLANK(Table2[[#This Row],[1]:[11]])-1)))</f>
        <v>9.7165991902834013E-3</v>
      </c>
      <c r="M63" s="28"/>
      <c r="N63" s="41" t="str" cm="1">
        <f t="array" ref="N63">IFERROR(INDEX(_xlfn.UNIQUE(TRIM(_xlfn.TEXTSPLIT(Table2[[#This Row],[Selection Options]:[Selection Options]],","))),,N$21),"")</f>
        <v>1. Extensive functionality available</v>
      </c>
      <c r="O63" s="29" t="str" cm="1">
        <f t="array" ref="O63">IFERROR(INDEX(_xlfn.UNIQUE(TRIM(_xlfn.TEXTSPLIT(Table2[[#This Row],[Selection Options]:[Selection Options]],","))),,O$21),"")</f>
        <v xml:space="preserve">
2. Limited functionality available</v>
      </c>
      <c r="P63" s="29" t="str" cm="1">
        <f t="array" ref="P63">IFERROR(INDEX(_xlfn.UNIQUE(TRIM(_xlfn.TEXTSPLIT(Table2[[#This Row],[Selection Options]:[Selection Options]],","))),,P$21),"")</f>
        <v xml:space="preserve">
3. Functionality not available</v>
      </c>
      <c r="Q63" s="29" t="str" cm="1">
        <f t="array" ref="Q63">IFERROR(INDEX(_xlfn.UNIQUE(TRIM(_xlfn.TEXTSPLIT(Table2[[#This Row],[Selection Options]:[Selection Options]],","))),,Q$21),"")</f>
        <v/>
      </c>
      <c r="R63" s="29" t="str" cm="1">
        <f t="array" ref="R63">IFERROR(INDEX(_xlfn.UNIQUE(TRIM(_xlfn.TEXTSPLIT(Table2[[#This Row],[Selection Options]:[Selection Options]],","))),,R$21),"")</f>
        <v/>
      </c>
      <c r="S63" s="29" t="str" cm="1">
        <f t="array" ref="S63">IFERROR(INDEX(_xlfn.UNIQUE(TRIM(_xlfn.TEXTSPLIT(Table2[[#This Row],[Selection Options]:[Selection Options]],","))),,S$21),"")</f>
        <v/>
      </c>
      <c r="T63" s="29" t="str" cm="1">
        <f t="array" ref="T63">IFERROR(INDEX(_xlfn.UNIQUE(TRIM(_xlfn.TEXTSPLIT(Table2[[#This Row],[Selection Options]:[Selection Options]],","))),,T$21),"")</f>
        <v/>
      </c>
      <c r="U63" s="29" t="str" cm="1">
        <f t="array" ref="U63">IFERROR(INDEX(_xlfn.UNIQUE(TRIM(_xlfn.TEXTSPLIT(Table2[[#This Row],[Selection Options]:[Selection Options]],","))),,U$21),"")</f>
        <v/>
      </c>
      <c r="V63" s="29" t="str" cm="1">
        <f t="array" ref="V63">IFERROR(INDEX(_xlfn.UNIQUE(TRIM(_xlfn.TEXTSPLIT(Table2[[#This Row],[Selection Options]:[Selection Options]],","))),,V$21),"")</f>
        <v/>
      </c>
      <c r="W63" s="29" t="str" cm="1">
        <f t="array" ref="W63">IFERROR(INDEX(_xlfn.UNIQUE(TRIM(_xlfn.TEXTSPLIT(Table2[[#This Row],[Selection Options]:[Selection Options]],","))),,W$21),"")</f>
        <v/>
      </c>
      <c r="X63" s="29" t="str" cm="1">
        <f t="array" ref="X63">IFERROR(INDEX(_xlfn.UNIQUE(TRIM(_xlfn.TEXTSPLIT(Table2[[#This Row],[Selection Options]:[Selection Options]],","))),,X$21),"")</f>
        <v/>
      </c>
      <c r="Y63" s="30" cm="1">
        <f t="array" ref="Y63">IF(Table2[[#This Row],[1]]="","",Table2[[#This Row],[Weight]:[Weight]]-(Table2[[#This Row],[Weight]:[Weight]]*((_xlfn.XMATCH(Table2[[#This Row],[1]],Table2[[#This Row],[1]:[11]],0))-1)/(COUNTA(Table2[[#This Row],[1]:[11]])-COUNTBLANK(Table2[[#This Row],[1]:[11]])-1)))</f>
        <v>9.7165991902834013E-3</v>
      </c>
      <c r="Z63" s="30" cm="1">
        <f t="array" ref="Z63">IF(Table2[[#This Row],[2]]="","",Table2[[#This Row],[Weight]:[Weight]]-(Table2[[#This Row],[Weight]:[Weight]]*((_xlfn.XMATCH(Table2[[#This Row],[2]],Table2[[#This Row],[1]:[11]],0))-1)/(COUNTA(Table2[[#This Row],[1]:[11]])-COUNTBLANK(Table2[[#This Row],[1]:[11]])-1)))</f>
        <v>4.8582995951417006E-3</v>
      </c>
      <c r="AA63" s="30" cm="1">
        <f t="array" ref="AA63">IF(Table2[[#This Row],[3]]="","",Table2[[#This Row],[Weight]:[Weight]]-(Table2[[#This Row],[Weight]:[Weight]]*((_xlfn.XMATCH(Table2[[#This Row],[3]],Table2[[#This Row],[1]:[11]],0))-1)/(COUNTA(Table2[[#This Row],[1]:[11]])-COUNTBLANK(Table2[[#This Row],[1]:[11]])-1)))</f>
        <v>0</v>
      </c>
      <c r="AB63" s="30" t="str" cm="1">
        <f t="array" ref="AB63">IF(Table2[[#This Row],[4]]="","",Table2[[#This Row],[Weight]:[Weight]]-(Table2[[#This Row],[Weight]:[Weight]]*((_xlfn.XMATCH(Table2[[#This Row],[4]],Table2[[#This Row],[1]:[11]],0))-1)/(COUNTA(Table2[[#This Row],[1]:[11]])-COUNTBLANK(Table2[[#This Row],[1]:[11]])-1)))</f>
        <v/>
      </c>
      <c r="AC63" s="30" t="str" cm="1">
        <f t="array" ref="AC63">IF(Table2[[#This Row],[5]]="","",Table2[[#This Row],[Weight]:[Weight]]-(Table2[[#This Row],[Weight]:[Weight]]*((_xlfn.XMATCH(Table2[[#This Row],[5]],Table2[[#This Row],[1]:[11]],0))-1)/(COUNTA(Table2[[#This Row],[1]:[11]])-COUNTBLANK(Table2[[#This Row],[1]:[11]])-1)))</f>
        <v/>
      </c>
      <c r="AD63" s="30" t="str" cm="1">
        <f t="array" ref="AD63">IF(Table2[[#This Row],[6]]="","",Table2[[#This Row],[Weight]:[Weight]]-(Table2[[#This Row],[Weight]:[Weight]]*((_xlfn.XMATCH(Table2[[#This Row],[6]],Table2[[#This Row],[1]:[11]],0))-1)/(COUNTA(Table2[[#This Row],[1]:[11]])-COUNTBLANK(Table2[[#This Row],[1]:[11]])-1)))</f>
        <v/>
      </c>
      <c r="AE63" s="30" t="str" cm="1">
        <f t="array" ref="AE63">IF(Table2[[#This Row],[7]]="","",Table2[[#This Row],[Weight]:[Weight]]-(Table2[[#This Row],[Weight]:[Weight]]*((_xlfn.XMATCH(Table2[[#This Row],[7]],Table2[[#This Row],[1]:[11]],0))-1)/(COUNTA(Table2[[#This Row],[1]:[11]])-COUNTBLANK(Table2[[#This Row],[1]:[11]])-1)))</f>
        <v/>
      </c>
      <c r="AF63" s="30" t="str" cm="1">
        <f t="array" ref="AF63">IF(Table2[[#This Row],[8]]="","",Table2[[#This Row],[Weight]:[Weight]]-(Table2[[#This Row],[Weight]:[Weight]]*((_xlfn.XMATCH(Table2[[#This Row],[8]],Table2[[#This Row],[1]:[11]],0))-1)/(COUNTA(Table2[[#This Row],[1]:[11]])-COUNTBLANK(Table2[[#This Row],[1]:[11]])-1)))</f>
        <v/>
      </c>
      <c r="AG63" s="41" t="str" cm="1">
        <f t="array" ref="AG63">IF(Table2[[#This Row],[9]]="","",Table2[[#This Row],[Weight]:[Weight]]-(Table2[[#This Row],[Weight]:[Weight]]*((_xlfn.XMATCH(Table2[[#This Row],[9]],Table2[[#This Row],[1]:[11]],0))-1)/(COUNTA(Table2[[#This Row],[1]:[11]])-COUNTBLANK(Table2[[#This Row],[1]:[11]])-1)))</f>
        <v/>
      </c>
      <c r="AH63" s="41" t="str" cm="1">
        <f t="array" ref="AH63">IF(Table2[[#This Row],[10]]="","",Table2[[#This Row],[Weight]:[Weight]]-(Table2[[#This Row],[Weight]:[Weight]]*((_xlfn.XMATCH(Table2[[#This Row],[10]],Table2[[#This Row],[1]:[11]],0))-1)/(COUNTA(Table2[[#This Row],[1]:[11]])-COUNTBLANK(Table2[[#This Row],[1]:[11]])-1)))</f>
        <v/>
      </c>
      <c r="AI63" s="41" t="str" cm="1">
        <f t="array" ref="AI63">IF(Table2[[#This Row],[11]]="","",Table2[[#This Row],[Weight]:[Weight]]-(Table2[[#This Row],[Weight]:[Weight]]*((_xlfn.XMATCH(Table2[[#This Row],[11]],Table2[[#This Row],[1]:[11]],0))-1)/(COUNTA(Table2[[#This Row],[1]:[11]])-COUNTBLANK(Table2[[#This Row],[1]:[11]])-1)))</f>
        <v/>
      </c>
    </row>
    <row r="64" spans="1:35" ht="72" x14ac:dyDescent="0.2">
      <c r="A64" s="117" t="s">
        <v>240</v>
      </c>
      <c r="B64" s="21" t="s">
        <v>241</v>
      </c>
      <c r="C64" s="204" t="s">
        <v>242</v>
      </c>
      <c r="D64" s="21"/>
      <c r="E64" s="21" t="s">
        <v>55</v>
      </c>
      <c r="F64" s="22" t="s">
        <v>60</v>
      </c>
      <c r="G64" s="23" cm="1">
        <f t="array" ref="G64">_xlfn.IFS(F64="","",F64="No interest",0,F64="Nice to have",1,F64="Useful",2,F64="Important",3,F64="Very important",4,F64="Critical",5,F64="Show stopper",6)</f>
        <v>6</v>
      </c>
      <c r="H64" s="24">
        <f t="shared" si="3"/>
        <v>9.7165991902834013E-3</v>
      </c>
      <c r="I64" s="25" t="s">
        <v>118</v>
      </c>
      <c r="J64" s="37" t="str" cm="1">
        <f t="array" ref="J64">_xlfn.TEXTJOIN(" "&amp;CHAR(10),,TEXT(SUBSTITUTE(Table2[[#This Row],[12]:[22]],".",","),"0,00%"))</f>
        <v>0,0097165991902834 
0,0048582995951417 
0,00%</v>
      </c>
      <c r="K64" s="26" t="s">
        <v>119</v>
      </c>
      <c r="L64" s="27">
        <f>H64-(H64*((MATCH(Table2[[#This Row],[Evaluators Response (SELECT)]],Table2[[#This Row],[1]:[11]],0)-1)/(COUNTA(Table2[[#This Row],[1]:[11]])-COUNTBLANK(Table2[[#This Row],[1]:[11]])-1)))</f>
        <v>9.7165991902834013E-3</v>
      </c>
      <c r="M64" s="28"/>
      <c r="N64" s="41" t="str" cm="1">
        <f t="array" ref="N64">IFERROR(INDEX(_xlfn.UNIQUE(TRIM(_xlfn.TEXTSPLIT(Table2[[#This Row],[Selection Options]:[Selection Options]],","))),,N$21),"")</f>
        <v>1. Extensive functionality available</v>
      </c>
      <c r="O64" s="29" t="str" cm="1">
        <f t="array" ref="O64">IFERROR(INDEX(_xlfn.UNIQUE(TRIM(_xlfn.TEXTSPLIT(Table2[[#This Row],[Selection Options]:[Selection Options]],","))),,O$21),"")</f>
        <v xml:space="preserve">
2. Limited functionality available</v>
      </c>
      <c r="P64" s="29" t="str" cm="1">
        <f t="array" ref="P64">IFERROR(INDEX(_xlfn.UNIQUE(TRIM(_xlfn.TEXTSPLIT(Table2[[#This Row],[Selection Options]:[Selection Options]],","))),,P$21),"")</f>
        <v xml:space="preserve">
3. Functionality not available</v>
      </c>
      <c r="Q64" s="29" t="str" cm="1">
        <f t="array" ref="Q64">IFERROR(INDEX(_xlfn.UNIQUE(TRIM(_xlfn.TEXTSPLIT(Table2[[#This Row],[Selection Options]:[Selection Options]],","))),,Q$21),"")</f>
        <v/>
      </c>
      <c r="R64" s="29" t="str" cm="1">
        <f t="array" ref="R64">IFERROR(INDEX(_xlfn.UNIQUE(TRIM(_xlfn.TEXTSPLIT(Table2[[#This Row],[Selection Options]:[Selection Options]],","))),,R$21),"")</f>
        <v/>
      </c>
      <c r="S64" s="29" t="str" cm="1">
        <f t="array" ref="S64">IFERROR(INDEX(_xlfn.UNIQUE(TRIM(_xlfn.TEXTSPLIT(Table2[[#This Row],[Selection Options]:[Selection Options]],","))),,S$21),"")</f>
        <v/>
      </c>
      <c r="T64" s="29" t="str" cm="1">
        <f t="array" ref="T64">IFERROR(INDEX(_xlfn.UNIQUE(TRIM(_xlfn.TEXTSPLIT(Table2[[#This Row],[Selection Options]:[Selection Options]],","))),,T$21),"")</f>
        <v/>
      </c>
      <c r="U64" s="29" t="str" cm="1">
        <f t="array" ref="U64">IFERROR(INDEX(_xlfn.UNIQUE(TRIM(_xlfn.TEXTSPLIT(Table2[[#This Row],[Selection Options]:[Selection Options]],","))),,U$21),"")</f>
        <v/>
      </c>
      <c r="V64" s="29" t="str" cm="1">
        <f t="array" ref="V64">IFERROR(INDEX(_xlfn.UNIQUE(TRIM(_xlfn.TEXTSPLIT(Table2[[#This Row],[Selection Options]:[Selection Options]],","))),,V$21),"")</f>
        <v/>
      </c>
      <c r="W64" s="29" t="str" cm="1">
        <f t="array" ref="W64">IFERROR(INDEX(_xlfn.UNIQUE(TRIM(_xlfn.TEXTSPLIT(Table2[[#This Row],[Selection Options]:[Selection Options]],","))),,W$21),"")</f>
        <v/>
      </c>
      <c r="X64" s="29" t="str" cm="1">
        <f t="array" ref="X64">IFERROR(INDEX(_xlfn.UNIQUE(TRIM(_xlfn.TEXTSPLIT(Table2[[#This Row],[Selection Options]:[Selection Options]],","))),,X$21),"")</f>
        <v/>
      </c>
      <c r="Y64" s="30" cm="1">
        <f t="array" ref="Y64">IF(Table2[[#This Row],[1]]="","",Table2[[#This Row],[Weight]:[Weight]]-(Table2[[#This Row],[Weight]:[Weight]]*((_xlfn.XMATCH(Table2[[#This Row],[1]],Table2[[#This Row],[1]:[11]],0))-1)/(COUNTA(Table2[[#This Row],[1]:[11]])-COUNTBLANK(Table2[[#This Row],[1]:[11]])-1)))</f>
        <v>9.7165991902834013E-3</v>
      </c>
      <c r="Z64" s="30" cm="1">
        <f t="array" ref="Z64">IF(Table2[[#This Row],[2]]="","",Table2[[#This Row],[Weight]:[Weight]]-(Table2[[#This Row],[Weight]:[Weight]]*((_xlfn.XMATCH(Table2[[#This Row],[2]],Table2[[#This Row],[1]:[11]],0))-1)/(COUNTA(Table2[[#This Row],[1]:[11]])-COUNTBLANK(Table2[[#This Row],[1]:[11]])-1)))</f>
        <v>4.8582995951417006E-3</v>
      </c>
      <c r="AA64" s="30" cm="1">
        <f t="array" ref="AA64">IF(Table2[[#This Row],[3]]="","",Table2[[#This Row],[Weight]:[Weight]]-(Table2[[#This Row],[Weight]:[Weight]]*((_xlfn.XMATCH(Table2[[#This Row],[3]],Table2[[#This Row],[1]:[11]],0))-1)/(COUNTA(Table2[[#This Row],[1]:[11]])-COUNTBLANK(Table2[[#This Row],[1]:[11]])-1)))</f>
        <v>0</v>
      </c>
      <c r="AB64" s="30" t="str" cm="1">
        <f t="array" ref="AB64">IF(Table2[[#This Row],[4]]="","",Table2[[#This Row],[Weight]:[Weight]]-(Table2[[#This Row],[Weight]:[Weight]]*((_xlfn.XMATCH(Table2[[#This Row],[4]],Table2[[#This Row],[1]:[11]],0))-1)/(COUNTA(Table2[[#This Row],[1]:[11]])-COUNTBLANK(Table2[[#This Row],[1]:[11]])-1)))</f>
        <v/>
      </c>
      <c r="AC64" s="30" t="str" cm="1">
        <f t="array" ref="AC64">IF(Table2[[#This Row],[5]]="","",Table2[[#This Row],[Weight]:[Weight]]-(Table2[[#This Row],[Weight]:[Weight]]*((_xlfn.XMATCH(Table2[[#This Row],[5]],Table2[[#This Row],[1]:[11]],0))-1)/(COUNTA(Table2[[#This Row],[1]:[11]])-COUNTBLANK(Table2[[#This Row],[1]:[11]])-1)))</f>
        <v/>
      </c>
      <c r="AD64" s="30" t="str" cm="1">
        <f t="array" ref="AD64">IF(Table2[[#This Row],[6]]="","",Table2[[#This Row],[Weight]:[Weight]]-(Table2[[#This Row],[Weight]:[Weight]]*((_xlfn.XMATCH(Table2[[#This Row],[6]],Table2[[#This Row],[1]:[11]],0))-1)/(COUNTA(Table2[[#This Row],[1]:[11]])-COUNTBLANK(Table2[[#This Row],[1]:[11]])-1)))</f>
        <v/>
      </c>
      <c r="AE64" s="30" t="str" cm="1">
        <f t="array" ref="AE64">IF(Table2[[#This Row],[7]]="","",Table2[[#This Row],[Weight]:[Weight]]-(Table2[[#This Row],[Weight]:[Weight]]*((_xlfn.XMATCH(Table2[[#This Row],[7]],Table2[[#This Row],[1]:[11]],0))-1)/(COUNTA(Table2[[#This Row],[1]:[11]])-COUNTBLANK(Table2[[#This Row],[1]:[11]])-1)))</f>
        <v/>
      </c>
      <c r="AF64" s="30" t="str" cm="1">
        <f t="array" ref="AF64">IF(Table2[[#This Row],[8]]="","",Table2[[#This Row],[Weight]:[Weight]]-(Table2[[#This Row],[Weight]:[Weight]]*((_xlfn.XMATCH(Table2[[#This Row],[8]],Table2[[#This Row],[1]:[11]],0))-1)/(COUNTA(Table2[[#This Row],[1]:[11]])-COUNTBLANK(Table2[[#This Row],[1]:[11]])-1)))</f>
        <v/>
      </c>
      <c r="AG64" s="41" t="str" cm="1">
        <f t="array" ref="AG64">IF(Table2[[#This Row],[9]]="","",Table2[[#This Row],[Weight]:[Weight]]-(Table2[[#This Row],[Weight]:[Weight]]*((_xlfn.XMATCH(Table2[[#This Row],[9]],Table2[[#This Row],[1]:[11]],0))-1)/(COUNTA(Table2[[#This Row],[1]:[11]])-COUNTBLANK(Table2[[#This Row],[1]:[11]])-1)))</f>
        <v/>
      </c>
      <c r="AH64" s="41" t="str" cm="1">
        <f t="array" ref="AH64">IF(Table2[[#This Row],[10]]="","",Table2[[#This Row],[Weight]:[Weight]]-(Table2[[#This Row],[Weight]:[Weight]]*((_xlfn.XMATCH(Table2[[#This Row],[10]],Table2[[#This Row],[1]:[11]],0))-1)/(COUNTA(Table2[[#This Row],[1]:[11]])-COUNTBLANK(Table2[[#This Row],[1]:[11]])-1)))</f>
        <v/>
      </c>
      <c r="AI64" s="41" t="str" cm="1">
        <f t="array" ref="AI64">IF(Table2[[#This Row],[11]]="","",Table2[[#This Row],[Weight]:[Weight]]-(Table2[[#This Row],[Weight]:[Weight]]*((_xlfn.XMATCH(Table2[[#This Row],[11]],Table2[[#This Row],[1]:[11]],0))-1)/(COUNTA(Table2[[#This Row],[1]:[11]])-COUNTBLANK(Table2[[#This Row],[1]:[11]])-1)))</f>
        <v/>
      </c>
    </row>
    <row r="65" spans="1:35" ht="72" x14ac:dyDescent="0.2">
      <c r="A65" s="117" t="s">
        <v>243</v>
      </c>
      <c r="B65" s="21" t="s">
        <v>244</v>
      </c>
      <c r="C65" s="204" t="s">
        <v>245</v>
      </c>
      <c r="D65" s="21"/>
      <c r="E65" s="21" t="s">
        <v>55</v>
      </c>
      <c r="F65" s="22" t="s">
        <v>60</v>
      </c>
      <c r="G65" s="23" cm="1">
        <f t="array" ref="G65">_xlfn.IFS(F65="","",F65="No interest",0,F65="Nice to have",1,F65="Useful",2,F65="Important",3,F65="Very important",4,F65="Critical",5,F65="Show stopper",6)</f>
        <v>6</v>
      </c>
      <c r="H65" s="24">
        <f t="shared" si="3"/>
        <v>9.7165991902834013E-3</v>
      </c>
      <c r="I65" s="25" t="s">
        <v>118</v>
      </c>
      <c r="J65" s="37" t="str" cm="1">
        <f t="array" ref="J65">_xlfn.TEXTJOIN(" "&amp;CHAR(10),,TEXT(SUBSTITUTE(Table2[[#This Row],[12]:[22]],".",","),"0,00%"))</f>
        <v>0,0097165991902834 
0,0048582995951417 
0,00%</v>
      </c>
      <c r="K65" s="26" t="s">
        <v>119</v>
      </c>
      <c r="L65" s="27">
        <f>H65-(H65*((MATCH(Table2[[#This Row],[Evaluators Response (SELECT)]],Table2[[#This Row],[1]:[11]],0)-1)/(COUNTA(Table2[[#This Row],[1]:[11]])-COUNTBLANK(Table2[[#This Row],[1]:[11]])-1)))</f>
        <v>9.7165991902834013E-3</v>
      </c>
      <c r="M65" s="28"/>
      <c r="N65" s="41" t="str" cm="1">
        <f t="array" ref="N65">IFERROR(INDEX(_xlfn.UNIQUE(TRIM(_xlfn.TEXTSPLIT(Table2[[#This Row],[Selection Options]:[Selection Options]],","))),,N$21),"")</f>
        <v>1. Extensive functionality available</v>
      </c>
      <c r="O65" s="29" t="str" cm="1">
        <f t="array" ref="O65">IFERROR(INDEX(_xlfn.UNIQUE(TRIM(_xlfn.TEXTSPLIT(Table2[[#This Row],[Selection Options]:[Selection Options]],","))),,O$21),"")</f>
        <v xml:space="preserve">
2. Limited functionality available</v>
      </c>
      <c r="P65" s="29" t="str" cm="1">
        <f t="array" ref="P65">IFERROR(INDEX(_xlfn.UNIQUE(TRIM(_xlfn.TEXTSPLIT(Table2[[#This Row],[Selection Options]:[Selection Options]],","))),,P$21),"")</f>
        <v xml:space="preserve">
3. Functionality not available</v>
      </c>
      <c r="Q65" s="29" t="str" cm="1">
        <f t="array" ref="Q65">IFERROR(INDEX(_xlfn.UNIQUE(TRIM(_xlfn.TEXTSPLIT(Table2[[#This Row],[Selection Options]:[Selection Options]],","))),,Q$21),"")</f>
        <v/>
      </c>
      <c r="R65" s="29" t="str" cm="1">
        <f t="array" ref="R65">IFERROR(INDEX(_xlfn.UNIQUE(TRIM(_xlfn.TEXTSPLIT(Table2[[#This Row],[Selection Options]:[Selection Options]],","))),,R$21),"")</f>
        <v/>
      </c>
      <c r="S65" s="29" t="str" cm="1">
        <f t="array" ref="S65">IFERROR(INDEX(_xlfn.UNIQUE(TRIM(_xlfn.TEXTSPLIT(Table2[[#This Row],[Selection Options]:[Selection Options]],","))),,S$21),"")</f>
        <v/>
      </c>
      <c r="T65" s="29" t="str" cm="1">
        <f t="array" ref="T65">IFERROR(INDEX(_xlfn.UNIQUE(TRIM(_xlfn.TEXTSPLIT(Table2[[#This Row],[Selection Options]:[Selection Options]],","))),,T$21),"")</f>
        <v/>
      </c>
      <c r="U65" s="29" t="str" cm="1">
        <f t="array" ref="U65">IFERROR(INDEX(_xlfn.UNIQUE(TRIM(_xlfn.TEXTSPLIT(Table2[[#This Row],[Selection Options]:[Selection Options]],","))),,U$21),"")</f>
        <v/>
      </c>
      <c r="V65" s="29" t="str" cm="1">
        <f t="array" ref="V65">IFERROR(INDEX(_xlfn.UNIQUE(TRIM(_xlfn.TEXTSPLIT(Table2[[#This Row],[Selection Options]:[Selection Options]],","))),,V$21),"")</f>
        <v/>
      </c>
      <c r="W65" s="29" t="str" cm="1">
        <f t="array" ref="W65">IFERROR(INDEX(_xlfn.UNIQUE(TRIM(_xlfn.TEXTSPLIT(Table2[[#This Row],[Selection Options]:[Selection Options]],","))),,W$21),"")</f>
        <v/>
      </c>
      <c r="X65" s="29" t="str" cm="1">
        <f t="array" ref="X65">IFERROR(INDEX(_xlfn.UNIQUE(TRIM(_xlfn.TEXTSPLIT(Table2[[#This Row],[Selection Options]:[Selection Options]],","))),,X$21),"")</f>
        <v/>
      </c>
      <c r="Y65" s="30" cm="1">
        <f t="array" ref="Y65">IF(Table2[[#This Row],[1]]="","",Table2[[#This Row],[Weight]:[Weight]]-(Table2[[#This Row],[Weight]:[Weight]]*((_xlfn.XMATCH(Table2[[#This Row],[1]],Table2[[#This Row],[1]:[11]],0))-1)/(COUNTA(Table2[[#This Row],[1]:[11]])-COUNTBLANK(Table2[[#This Row],[1]:[11]])-1)))</f>
        <v>9.7165991902834013E-3</v>
      </c>
      <c r="Z65" s="30" cm="1">
        <f t="array" ref="Z65">IF(Table2[[#This Row],[2]]="","",Table2[[#This Row],[Weight]:[Weight]]-(Table2[[#This Row],[Weight]:[Weight]]*((_xlfn.XMATCH(Table2[[#This Row],[2]],Table2[[#This Row],[1]:[11]],0))-1)/(COUNTA(Table2[[#This Row],[1]:[11]])-COUNTBLANK(Table2[[#This Row],[1]:[11]])-1)))</f>
        <v>4.8582995951417006E-3</v>
      </c>
      <c r="AA65" s="30" cm="1">
        <f t="array" ref="AA65">IF(Table2[[#This Row],[3]]="","",Table2[[#This Row],[Weight]:[Weight]]-(Table2[[#This Row],[Weight]:[Weight]]*((_xlfn.XMATCH(Table2[[#This Row],[3]],Table2[[#This Row],[1]:[11]],0))-1)/(COUNTA(Table2[[#This Row],[1]:[11]])-COUNTBLANK(Table2[[#This Row],[1]:[11]])-1)))</f>
        <v>0</v>
      </c>
      <c r="AB65" s="30" t="str" cm="1">
        <f t="array" ref="AB65">IF(Table2[[#This Row],[4]]="","",Table2[[#This Row],[Weight]:[Weight]]-(Table2[[#This Row],[Weight]:[Weight]]*((_xlfn.XMATCH(Table2[[#This Row],[4]],Table2[[#This Row],[1]:[11]],0))-1)/(COUNTA(Table2[[#This Row],[1]:[11]])-COUNTBLANK(Table2[[#This Row],[1]:[11]])-1)))</f>
        <v/>
      </c>
      <c r="AC65" s="30" t="str" cm="1">
        <f t="array" ref="AC65">IF(Table2[[#This Row],[5]]="","",Table2[[#This Row],[Weight]:[Weight]]-(Table2[[#This Row],[Weight]:[Weight]]*((_xlfn.XMATCH(Table2[[#This Row],[5]],Table2[[#This Row],[1]:[11]],0))-1)/(COUNTA(Table2[[#This Row],[1]:[11]])-COUNTBLANK(Table2[[#This Row],[1]:[11]])-1)))</f>
        <v/>
      </c>
      <c r="AD65" s="30" t="str" cm="1">
        <f t="array" ref="AD65">IF(Table2[[#This Row],[6]]="","",Table2[[#This Row],[Weight]:[Weight]]-(Table2[[#This Row],[Weight]:[Weight]]*((_xlfn.XMATCH(Table2[[#This Row],[6]],Table2[[#This Row],[1]:[11]],0))-1)/(COUNTA(Table2[[#This Row],[1]:[11]])-COUNTBLANK(Table2[[#This Row],[1]:[11]])-1)))</f>
        <v/>
      </c>
      <c r="AE65" s="30" t="str" cm="1">
        <f t="array" ref="AE65">IF(Table2[[#This Row],[7]]="","",Table2[[#This Row],[Weight]:[Weight]]-(Table2[[#This Row],[Weight]:[Weight]]*((_xlfn.XMATCH(Table2[[#This Row],[7]],Table2[[#This Row],[1]:[11]],0))-1)/(COUNTA(Table2[[#This Row],[1]:[11]])-COUNTBLANK(Table2[[#This Row],[1]:[11]])-1)))</f>
        <v/>
      </c>
      <c r="AF65" s="30" t="str" cm="1">
        <f t="array" ref="AF65">IF(Table2[[#This Row],[8]]="","",Table2[[#This Row],[Weight]:[Weight]]-(Table2[[#This Row],[Weight]:[Weight]]*((_xlfn.XMATCH(Table2[[#This Row],[8]],Table2[[#This Row],[1]:[11]],0))-1)/(COUNTA(Table2[[#This Row],[1]:[11]])-COUNTBLANK(Table2[[#This Row],[1]:[11]])-1)))</f>
        <v/>
      </c>
      <c r="AG65" s="41" t="str" cm="1">
        <f t="array" ref="AG65">IF(Table2[[#This Row],[9]]="","",Table2[[#This Row],[Weight]:[Weight]]-(Table2[[#This Row],[Weight]:[Weight]]*((_xlfn.XMATCH(Table2[[#This Row],[9]],Table2[[#This Row],[1]:[11]],0))-1)/(COUNTA(Table2[[#This Row],[1]:[11]])-COUNTBLANK(Table2[[#This Row],[1]:[11]])-1)))</f>
        <v/>
      </c>
      <c r="AH65" s="41" t="str" cm="1">
        <f t="array" ref="AH65">IF(Table2[[#This Row],[10]]="","",Table2[[#This Row],[Weight]:[Weight]]-(Table2[[#This Row],[Weight]:[Weight]]*((_xlfn.XMATCH(Table2[[#This Row],[10]],Table2[[#This Row],[1]:[11]],0))-1)/(COUNTA(Table2[[#This Row],[1]:[11]])-COUNTBLANK(Table2[[#This Row],[1]:[11]])-1)))</f>
        <v/>
      </c>
      <c r="AI65" s="41" t="str" cm="1">
        <f t="array" ref="AI65">IF(Table2[[#This Row],[11]]="","",Table2[[#This Row],[Weight]:[Weight]]-(Table2[[#This Row],[Weight]:[Weight]]*((_xlfn.XMATCH(Table2[[#This Row],[11]],Table2[[#This Row],[1]:[11]],0))-1)/(COUNTA(Table2[[#This Row],[1]:[11]])-COUNTBLANK(Table2[[#This Row],[1]:[11]])-1)))</f>
        <v/>
      </c>
    </row>
  </sheetData>
  <sheetProtection insertRows="0" insertHyperlinks="0" deleteRows="0" autoFilter="0"/>
  <mergeCells count="5">
    <mergeCell ref="B19:C21"/>
    <mergeCell ref="D19:E21"/>
    <mergeCell ref="A19:A21"/>
    <mergeCell ref="E2:F3"/>
    <mergeCell ref="E11:F12"/>
  </mergeCells>
  <phoneticPr fontId="4" type="noConversion"/>
  <conditionalFormatting sqref="K23:K65">
    <cfRule type="expression" dxfId="6" priority="2">
      <formula>COUNTIF(N23:X23,K23)&lt;&gt;1</formula>
    </cfRule>
  </conditionalFormatting>
  <dataValidations count="3">
    <dataValidation type="list" allowBlank="1" showInputMessage="1" showErrorMessage="1" sqref="F23:F65" xr:uid="{EE004A32-0050-4973-9662-15E4DA79094A}">
      <formula1>"No interest,Nice to have,Useful,Important,Very important,Critical,Show stopper"</formula1>
    </dataValidation>
    <dataValidation type="list" allowBlank="1" showInputMessage="1" showErrorMessage="1" sqref="H23:H65" xr:uid="{815A968B-A43A-460E-B8B1-C5E924AF3C02}">
      <formula1>N23:R23</formula1>
    </dataValidation>
    <dataValidation type="list" allowBlank="1" showInputMessage="1" showErrorMessage="1" sqref="K23:K65" xr:uid="{5A7D0A06-D91B-4C27-B743-41B5ED35C67E}">
      <formula1>$N23:$X23</formula1>
    </dataValidation>
  </dataValidations>
  <pageMargins left="0.7" right="0.7" top="0.75" bottom="0.75" header="0.3" footer="0.3"/>
  <pageSetup paperSize="9" scale="40" fitToHeight="0"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776A2-D97B-45A1-9659-D9B992DBB03E}">
  <sheetPr>
    <tabColor rgb="FF00B050"/>
    <pageSetUpPr fitToPage="1"/>
  </sheetPr>
  <dimension ref="A2:AI30"/>
  <sheetViews>
    <sheetView zoomScale="110" zoomScaleNormal="110" workbookViewId="0">
      <pane xSplit="1" ySplit="11" topLeftCell="B12" activePane="bottomRight" state="frozen"/>
      <selection pane="topRight" activeCell="B1" sqref="B1"/>
      <selection pane="bottomLeft" activeCell="A4" sqref="A4"/>
      <selection pane="bottomRight" activeCell="A30" sqref="A30"/>
    </sheetView>
  </sheetViews>
  <sheetFormatPr defaultColWidth="5.5703125" defaultRowHeight="12" x14ac:dyDescent="0.2"/>
  <cols>
    <col min="1" max="1" width="10.42578125" style="6" customWidth="1"/>
    <col min="2" max="2" width="38.5703125" style="6" customWidth="1"/>
    <col min="3" max="3" width="38.8554687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26.5703125" style="6" customWidth="1"/>
    <col min="10" max="10" width="8" style="6" customWidth="1"/>
    <col min="11" max="11" width="15.85546875" style="6" customWidth="1"/>
    <col min="12" max="12" width="7.85546875" style="45" bestFit="1" customWidth="1"/>
    <col min="13" max="13" width="19.7109375" style="6" customWidth="1"/>
    <col min="14" max="14" width="6.5703125" style="46" hidden="1" customWidth="1"/>
    <col min="15" max="24" width="6.42578125" style="46" hidden="1" customWidth="1"/>
    <col min="25" max="25" width="8" style="6" hidden="1" customWidth="1"/>
    <col min="26" max="26" width="5.5703125" style="6" hidden="1" customWidth="1"/>
    <col min="27" max="32" width="6.140625" style="6" hidden="1" customWidth="1"/>
    <col min="33" max="35" width="5.5703125" style="6" hidden="1" customWidth="1"/>
    <col min="36" max="16384" width="5.5703125" style="6"/>
  </cols>
  <sheetData>
    <row r="2" spans="1:35" ht="15" x14ac:dyDescent="0.25">
      <c r="B2" s="90" t="s">
        <v>82</v>
      </c>
      <c r="C2" s="91" t="s">
        <v>83</v>
      </c>
      <c r="E2" s="303" t="s">
        <v>246</v>
      </c>
      <c r="F2" s="304"/>
    </row>
    <row r="3" spans="1:35" ht="15.75" customHeight="1" x14ac:dyDescent="0.25">
      <c r="B3" s="90" t="s">
        <v>84</v>
      </c>
      <c r="C3" s="91" t="s">
        <v>85</v>
      </c>
      <c r="E3" s="305"/>
      <c r="F3" s="306"/>
    </row>
    <row r="4" spans="1:35" ht="15" customHeight="1" x14ac:dyDescent="0.25">
      <c r="B4" s="90" t="s">
        <v>86</v>
      </c>
      <c r="C4" s="93" t="s">
        <v>87</v>
      </c>
      <c r="D4" s="55"/>
      <c r="E4" s="170" t="s">
        <v>73</v>
      </c>
      <c r="F4" s="176"/>
    </row>
    <row r="5" spans="1:35" ht="15.75" x14ac:dyDescent="0.25">
      <c r="B5" s="90" t="s">
        <v>88</v>
      </c>
      <c r="C5" s="93" t="s">
        <v>87</v>
      </c>
      <c r="D5" s="55"/>
      <c r="E5" s="172"/>
      <c r="F5" s="175"/>
    </row>
    <row r="6" spans="1:35" ht="15.75" x14ac:dyDescent="0.25">
      <c r="B6" s="90" t="s">
        <v>90</v>
      </c>
      <c r="C6" s="93" t="s">
        <v>87</v>
      </c>
      <c r="D6" s="55"/>
      <c r="E6" s="55"/>
    </row>
    <row r="7" spans="1:35" ht="42.75" customHeight="1" x14ac:dyDescent="0.25">
      <c r="B7" s="90" t="s">
        <v>91</v>
      </c>
      <c r="C7" s="93"/>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Summary'!C16</f>
        <v>0.15</v>
      </c>
      <c r="G11" s="48">
        <f>SUM('Non-Functional'!$G$13:$G$29)</f>
        <v>80</v>
      </c>
      <c r="H11" s="8">
        <f>SUM('Non-Functional'!$H$13:$H$29)</f>
        <v>0.14999999999999997</v>
      </c>
      <c r="I11" s="7"/>
      <c r="J11" s="7"/>
      <c r="K11" s="9" t="s">
        <v>17</v>
      </c>
      <c r="L11" s="278">
        <f>SUM('Non-Functional'!$L$13:$L$29)</f>
        <v>0.14999999999999997</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211" t="s">
        <v>18</v>
      </c>
      <c r="B12" s="212" t="s">
        <v>19</v>
      </c>
      <c r="C12" s="213" t="s">
        <v>20</v>
      </c>
      <c r="D12" s="214" t="s">
        <v>21</v>
      </c>
      <c r="E12" s="214" t="s">
        <v>22</v>
      </c>
      <c r="F12" s="215" t="s">
        <v>23</v>
      </c>
      <c r="G12" s="216" t="s">
        <v>24</v>
      </c>
      <c r="H12" s="216" t="s">
        <v>25</v>
      </c>
      <c r="I12" s="215" t="s">
        <v>114</v>
      </c>
      <c r="J12" s="216" t="s">
        <v>27</v>
      </c>
      <c r="K12" s="215" t="s">
        <v>28</v>
      </c>
      <c r="L12" s="217" t="s">
        <v>29</v>
      </c>
      <c r="M12" s="215" t="s">
        <v>30</v>
      </c>
      <c r="N12" s="252" t="s">
        <v>31</v>
      </c>
      <c r="O12" s="253" t="s">
        <v>32</v>
      </c>
      <c r="P12" s="253" t="s">
        <v>33</v>
      </c>
      <c r="Q12" s="253" t="s">
        <v>34</v>
      </c>
      <c r="R12" s="253" t="s">
        <v>35</v>
      </c>
      <c r="S12" s="253" t="s">
        <v>36</v>
      </c>
      <c r="T12" s="253" t="s">
        <v>37</v>
      </c>
      <c r="U12" s="253" t="s">
        <v>38</v>
      </c>
      <c r="V12" s="253" t="s">
        <v>39</v>
      </c>
      <c r="W12" s="253" t="s">
        <v>40</v>
      </c>
      <c r="X12" s="253" t="s">
        <v>41</v>
      </c>
      <c r="Y12" s="254" t="s">
        <v>42</v>
      </c>
      <c r="Z12" s="254" t="s">
        <v>43</v>
      </c>
      <c r="AA12" s="254" t="s">
        <v>44</v>
      </c>
      <c r="AB12" s="254" t="s">
        <v>45</v>
      </c>
      <c r="AC12" s="254" t="s">
        <v>46</v>
      </c>
      <c r="AD12" s="254" t="s">
        <v>47</v>
      </c>
      <c r="AE12" s="254" t="s">
        <v>48</v>
      </c>
      <c r="AF12" s="254" t="s">
        <v>49</v>
      </c>
      <c r="AG12" s="254" t="s">
        <v>50</v>
      </c>
      <c r="AH12" s="254" t="s">
        <v>51</v>
      </c>
      <c r="AI12" s="255" t="s">
        <v>52</v>
      </c>
    </row>
    <row r="13" spans="1:35" ht="132.75" customHeight="1" x14ac:dyDescent="0.2">
      <c r="A13" s="218" t="s">
        <v>247</v>
      </c>
      <c r="B13" s="219" t="s">
        <v>637</v>
      </c>
      <c r="C13" s="219" t="s">
        <v>638</v>
      </c>
      <c r="D13" s="219"/>
      <c r="E13" s="219" t="s">
        <v>55</v>
      </c>
      <c r="F13" s="220" t="s">
        <v>248</v>
      </c>
      <c r="G13" s="220" cm="1">
        <f t="array" ref="G13">_xlfn.IFS(F13="","",F13="No interest",0,F13="Nice to have",1,F13="Useful",2,F13="Important",3,F13="Very important",4,F13="Critical",5,F13="Show stopper",6)</f>
        <v>4</v>
      </c>
      <c r="H13" s="221">
        <f t="shared" ref="H13:H16" si="0">(G13/$G$11)*$F$11</f>
        <v>7.4999999999999997E-3</v>
      </c>
      <c r="I13" s="222" t="s">
        <v>644</v>
      </c>
      <c r="J13" s="222" t="str" cm="1">
        <f t="array" ref="J13">_xlfn.TEXTJOIN(" "&amp;CHAR(10),,TEXT(SUBSTITUTE('Non-Functional'!$Y13:$AI13,".",","),"0,00%"))</f>
        <v>0,0075 
0,00375 
0,00%</v>
      </c>
      <c r="K13" s="223" t="s">
        <v>647</v>
      </c>
      <c r="L13" s="224">
        <f>H13-(H13*((MATCH('Non-Functional'!$K13,'Non-Functional'!$N13:$X13,0)-1)/(COUNTA('Non-Functional'!$N13:$X13)-COUNTBLANK('Non-Functional'!$N13:$X13)-1)))</f>
        <v>7.4999999999999997E-3</v>
      </c>
      <c r="M13" s="225"/>
      <c r="N13" s="226" t="str" cm="1">
        <f t="array" ref="N13">IFERROR(INDEX(_xlfn.UNIQUE(TRIM(_xlfn.TEXTSPLIT('Non-Functional'!$I13,","))),,N$11),"")</f>
        <v>100= 90th percentile transaction response time for 200 concurrent users &lt;= 3 seconds</v>
      </c>
      <c r="O13" s="226" t="str" cm="1">
        <f t="array" ref="O13">IFERROR(INDEX(_xlfn.UNIQUE(TRIM(_xlfn.TEXTSPLIT('Non-Functional'!$I13,","))),,O$11),"")</f>
        <v xml:space="preserve">
50= 90th percentile transaction response time for 200 concurrent users &gt;= 4 seconds</v>
      </c>
      <c r="P13" s="226" t="str" cm="1">
        <f t="array" ref="P13">IFERROR(INDEX(_xlfn.UNIQUE(TRIM(_xlfn.TEXTSPLIT('Non-Functional'!$I13,","))),,P$11),"")</f>
        <v xml:space="preserve">
0%: No report</v>
      </c>
      <c r="Q13" s="226" t="str" cm="1">
        <f t="array" ref="Q13">IFERROR(INDEX(_xlfn.UNIQUE(TRIM(_xlfn.TEXTSPLIT('Non-Functional'!$I13,","))),,Q$11),"")</f>
        <v/>
      </c>
      <c r="R13" s="226" t="str" cm="1">
        <f t="array" ref="R13">IFERROR(INDEX(_xlfn.UNIQUE(TRIM(_xlfn.TEXTSPLIT('Non-Functional'!$I13,","))),,R$11),"")</f>
        <v/>
      </c>
      <c r="S13" s="226" t="str" cm="1">
        <f t="array" ref="S13">IFERROR(INDEX(_xlfn.UNIQUE(TRIM(_xlfn.TEXTSPLIT('Non-Functional'!$I13,","))),,S$11),"")</f>
        <v/>
      </c>
      <c r="T13" s="226" t="str" cm="1">
        <f t="array" ref="T13">IFERROR(INDEX(_xlfn.UNIQUE(TRIM(_xlfn.TEXTSPLIT('Non-Functional'!$I13,","))),,T$11),"")</f>
        <v/>
      </c>
      <c r="U13" s="226" t="str" cm="1">
        <f t="array" ref="U13">IFERROR(INDEX(_xlfn.UNIQUE(TRIM(_xlfn.TEXTSPLIT('Non-Functional'!$I13,","))),,U$11),"")</f>
        <v/>
      </c>
      <c r="V13" s="226" t="str" cm="1">
        <f t="array" ref="V13">IFERROR(INDEX(_xlfn.UNIQUE(TRIM(_xlfn.TEXTSPLIT('Non-Functional'!$I13,","))),,V$11),"")</f>
        <v/>
      </c>
      <c r="W13" s="226" t="str" cm="1">
        <f t="array" ref="W13">IFERROR(INDEX(_xlfn.UNIQUE(TRIM(_xlfn.TEXTSPLIT('Non-Functional'!$I13,","))),,W$11),"")</f>
        <v/>
      </c>
      <c r="X13" s="226" t="str" cm="1">
        <f t="array" ref="X13">IFERROR(INDEX(_xlfn.UNIQUE(TRIM(_xlfn.TEXTSPLIT('Non-Functional'!$I13,","))),,X$11),"")</f>
        <v/>
      </c>
      <c r="Y13" s="227" cm="1">
        <f t="array" ref="Y13">IF('Non-Functional'!$N13="","",'Non-Functional'!$H13-('Non-Functional'!$H13*((_xlfn.XMATCH('Non-Functional'!$N13,'Non-Functional'!$N13:$X13,0))-1)/(COUNTA('Non-Functional'!$N13:$X13)-COUNTBLANK('Non-Functional'!$N13:$X13)-1)))</f>
        <v>7.4999999999999997E-3</v>
      </c>
      <c r="Z13" s="227" cm="1">
        <f t="array" ref="Z13">IF('Non-Functional'!$O13="","",'Non-Functional'!$H13-('Non-Functional'!$H13*((_xlfn.XMATCH('Non-Functional'!$O13,'Non-Functional'!$N13:$X13,0))-1)/(COUNTA('Non-Functional'!$N13:$X13)-COUNTBLANK('Non-Functional'!$N13:$X13)-1)))</f>
        <v>3.7499999999999999E-3</v>
      </c>
      <c r="AA13" s="227" cm="1">
        <f t="array" ref="AA13">IF('Non-Functional'!$P13="","",'Non-Functional'!$H13-('Non-Functional'!$H13*((_xlfn.XMATCH('Non-Functional'!$P13,'Non-Functional'!$N13:$X13,0))-1)/(COUNTA('Non-Functional'!$N13:$X13)-COUNTBLANK('Non-Functional'!$N13:$X13)-1)))</f>
        <v>0</v>
      </c>
      <c r="AB13" s="227" t="str" cm="1">
        <f t="array" ref="AB13">IF('Non-Functional'!$Q13="","",'Non-Functional'!$H13-('Non-Functional'!$H13*((_xlfn.XMATCH('Non-Functional'!$Q13,'Non-Functional'!$N13:$X13,0))-1)/(COUNTA('Non-Functional'!$N13:$X13)-COUNTBLANK('Non-Functional'!$N13:$X13)-1)))</f>
        <v/>
      </c>
      <c r="AC13" s="227" t="str" cm="1">
        <f t="array" ref="AC13">IF('Non-Functional'!$R13="","",'Non-Functional'!$H13-('Non-Functional'!$H13*((_xlfn.XMATCH('Non-Functional'!$R13,'Non-Functional'!$N13:$X13,0))-1)/(COUNTA('Non-Functional'!$N13:$X13)-COUNTBLANK('Non-Functional'!$N13:$X13)-1)))</f>
        <v/>
      </c>
      <c r="AD13" s="227" t="str" cm="1">
        <f t="array" ref="AD13">IF('Non-Functional'!$S13="","",'Non-Functional'!$H13-('Non-Functional'!$H13*((_xlfn.XMATCH('Non-Functional'!$S13,'Non-Functional'!$N13:$X13,0))-1)/(COUNTA('Non-Functional'!$N13:$X13)-COUNTBLANK('Non-Functional'!$N13:$X13)-1)))</f>
        <v/>
      </c>
      <c r="AE13" s="227" t="str" cm="1">
        <f t="array" ref="AE13">IF('Non-Functional'!$T13="","",'Non-Functional'!$H13-('Non-Functional'!$H13*((_xlfn.XMATCH('Non-Functional'!$T13,'Non-Functional'!$N13:$X13,0))-1)/(COUNTA('Non-Functional'!$N13:$X13)-COUNTBLANK('Non-Functional'!$N13:$X13)-1)))</f>
        <v/>
      </c>
      <c r="AF13" s="227" t="str" cm="1">
        <f t="array" ref="AF13">IF('Non-Functional'!$U13="","",'Non-Functional'!$H13-('Non-Functional'!$H13*((_xlfn.XMATCH('Non-Functional'!$U13,'Non-Functional'!$N13:$X13,0))-1)/(COUNTA('Non-Functional'!$N13:$X13)-COUNTBLANK('Non-Functional'!$N13:$X13)-1)))</f>
        <v/>
      </c>
      <c r="AG13" s="227" t="str" cm="1">
        <f t="array" ref="AG13">IF('Non-Functional'!$V13="","",'Non-Functional'!$H13-('Non-Functional'!$H13*((_xlfn.XMATCH('Non-Functional'!$V13,'Non-Functional'!$N13:$X13,0))-1)/(COUNTA('Non-Functional'!$N13:$X13)-COUNTBLANK('Non-Functional'!$N13:$X13)-1)))</f>
        <v/>
      </c>
      <c r="AH13" s="227" t="str" cm="1">
        <f t="array" ref="AH13">IF('Non-Functional'!$W13="","",'Non-Functional'!$H13-('Non-Functional'!$H13*((_xlfn.XMATCH('Non-Functional'!$W13,'Non-Functional'!$N13:$X13,0))-1)/(COUNTA('Non-Functional'!$N13:$X13)-COUNTBLANK('Non-Functional'!$N13:$X13)-1)))</f>
        <v/>
      </c>
      <c r="AI13" s="250" t="str" cm="1">
        <f t="array" ref="AI13">IF('Non-Functional'!$X13="","",'Non-Functional'!$H13-('Non-Functional'!$H13*((_xlfn.XMATCH('Non-Functional'!$X13,'Non-Functional'!$N13:$X13,0))-1)/(COUNTA('Non-Functional'!$N13:$X13)-COUNTBLANK('Non-Functional'!$N13:$X13)-1)))</f>
        <v/>
      </c>
    </row>
    <row r="14" spans="1:35" ht="108" x14ac:dyDescent="0.2">
      <c r="A14" s="228" t="s">
        <v>249</v>
      </c>
      <c r="B14" s="229" t="s">
        <v>639</v>
      </c>
      <c r="C14" s="229" t="s">
        <v>640</v>
      </c>
      <c r="D14" s="230"/>
      <c r="E14" s="229" t="s">
        <v>55</v>
      </c>
      <c r="F14" s="231" t="s">
        <v>248</v>
      </c>
      <c r="G14" s="231" cm="1">
        <f t="array" ref="G14">_xlfn.IFS(F14="","",F14="No interest",0,F14="Nice to have",1,F14="Useful",2,F14="Important",3,F14="Very important",4,F14="Critical",5,F14="Show stopper",6)</f>
        <v>4</v>
      </c>
      <c r="H14" s="232">
        <f t="shared" si="0"/>
        <v>7.4999999999999997E-3</v>
      </c>
      <c r="I14" s="233" t="s">
        <v>645</v>
      </c>
      <c r="J14" s="233" t="str" cm="1">
        <f t="array" ref="J14">_xlfn.TEXTJOIN(" "&amp;CHAR(10),,TEXT(SUBSTITUTE('Non-Functional'!$Y14:$AI14,".",","),"0,00%"))</f>
        <v>0,0075 
0,00375 
0,00%</v>
      </c>
      <c r="K14" s="234" t="s">
        <v>648</v>
      </c>
      <c r="L14" s="235">
        <f>H14-(H14*((MATCH('Non-Functional'!$K14,'Non-Functional'!$N14:$X14,0)-1)/(COUNTA('Non-Functional'!$N14:$X14)-COUNTBLANK('Non-Functional'!$N14:$X14)-1)))</f>
        <v>7.4999999999999997E-3</v>
      </c>
      <c r="M14" s="236"/>
      <c r="N14" s="43" t="str" cm="1">
        <f t="array" ref="N14">IFERROR(INDEX(_xlfn.UNIQUE(TRIM(_xlfn.TEXTSPLIT('Non-Functional'!$I14,","))),,N$11),"")</f>
        <v>100= Average throughput for 200 concurrent users &gt;= 142000 bytes / sec</v>
      </c>
      <c r="O14" s="43" t="str" cm="1">
        <f t="array" ref="O14">IFERROR(INDEX(_xlfn.UNIQUE(TRIM(_xlfn.TEXTSPLIT('Non-Functional'!$I14,","))),,O$11),"")</f>
        <v xml:space="preserve">
50= Average throughput for 200 concurrent users &gt;= 71000 and &lt; 142000 bytes / sec</v>
      </c>
      <c r="P14" s="43" t="str" cm="1">
        <f t="array" ref="P14">IFERROR(INDEX(_xlfn.UNIQUE(TRIM(_xlfn.TEXTSPLIT('Non-Functional'!$I14,","))),,P$11),"")</f>
        <v xml:space="preserve">
0 = Average throughput for 200 concurrent users &lt; 71000 bytes / sec</v>
      </c>
      <c r="Q14" s="43" t="str" cm="1">
        <f t="array" ref="Q14">IFERROR(INDEX(_xlfn.UNIQUE(TRIM(_xlfn.TEXTSPLIT('Non-Functional'!$I14,","))),,Q$11),"")</f>
        <v/>
      </c>
      <c r="R14" s="43" t="str" cm="1">
        <f t="array" ref="R14">IFERROR(INDEX(_xlfn.UNIQUE(TRIM(_xlfn.TEXTSPLIT('Non-Functional'!$I14,","))),,R$11),"")</f>
        <v/>
      </c>
      <c r="S14" s="43" t="str" cm="1">
        <f t="array" ref="S14">IFERROR(INDEX(_xlfn.UNIQUE(TRIM(_xlfn.TEXTSPLIT('Non-Functional'!$I14,","))),,S$11),"")</f>
        <v/>
      </c>
      <c r="T14" s="43" t="str" cm="1">
        <f t="array" ref="T14">IFERROR(INDEX(_xlfn.UNIQUE(TRIM(_xlfn.TEXTSPLIT('Non-Functional'!$I14,","))),,T$11),"")</f>
        <v/>
      </c>
      <c r="U14" s="43" t="str" cm="1">
        <f t="array" ref="U14">IFERROR(INDEX(_xlfn.UNIQUE(TRIM(_xlfn.TEXTSPLIT('Non-Functional'!$I14,","))),,U$11),"")</f>
        <v/>
      </c>
      <c r="V14" s="43" t="str" cm="1">
        <f t="array" ref="V14">IFERROR(INDEX(_xlfn.UNIQUE(TRIM(_xlfn.TEXTSPLIT('Non-Functional'!$I14,","))),,V$11),"")</f>
        <v/>
      </c>
      <c r="W14" s="43" t="str" cm="1">
        <f t="array" ref="W14">IFERROR(INDEX(_xlfn.UNIQUE(TRIM(_xlfn.TEXTSPLIT('Non-Functional'!$I14,","))),,W$11),"")</f>
        <v/>
      </c>
      <c r="X14" s="43" t="str" cm="1">
        <f t="array" ref="X14">IFERROR(INDEX(_xlfn.UNIQUE(TRIM(_xlfn.TEXTSPLIT('Non-Functional'!$I14,","))),,X$11),"")</f>
        <v/>
      </c>
      <c r="Y14" s="237" cm="1">
        <f t="array" ref="Y14">IF('Non-Functional'!$N14="","",'Non-Functional'!$H14-('Non-Functional'!$H14*((_xlfn.XMATCH('Non-Functional'!$N14,'Non-Functional'!$N14:$X14,0))-1)/(COUNTA('Non-Functional'!$N14:$X14)-COUNTBLANK('Non-Functional'!$N14:$X14)-1)))</f>
        <v>7.4999999999999997E-3</v>
      </c>
      <c r="Z14" s="237" cm="1">
        <f t="array" ref="Z14">IF('Non-Functional'!$O14="","",'Non-Functional'!$H14-('Non-Functional'!$H14*((_xlfn.XMATCH('Non-Functional'!$O14,'Non-Functional'!$N14:$X14,0))-1)/(COUNTA('Non-Functional'!$N14:$X14)-COUNTBLANK('Non-Functional'!$N14:$X14)-1)))</f>
        <v>3.7499999999999999E-3</v>
      </c>
      <c r="AA14" s="237" cm="1">
        <f t="array" ref="AA14">IF('Non-Functional'!$P14="","",'Non-Functional'!$H14-('Non-Functional'!$H14*((_xlfn.XMATCH('Non-Functional'!$P14,'Non-Functional'!$N14:$X14,0))-1)/(COUNTA('Non-Functional'!$N14:$X14)-COUNTBLANK('Non-Functional'!$N14:$X14)-1)))</f>
        <v>0</v>
      </c>
      <c r="AB14" s="237" t="str" cm="1">
        <f t="array" ref="AB14">IF('Non-Functional'!$Q14="","",'Non-Functional'!$H14-('Non-Functional'!$H14*((_xlfn.XMATCH('Non-Functional'!$Q14,'Non-Functional'!$N14:$X14,0))-1)/(COUNTA('Non-Functional'!$N14:$X14)-COUNTBLANK('Non-Functional'!$N14:$X14)-1)))</f>
        <v/>
      </c>
      <c r="AC14" s="237" t="str" cm="1">
        <f t="array" ref="AC14">IF('Non-Functional'!$R14="","",'Non-Functional'!$H14-('Non-Functional'!$H14*((_xlfn.XMATCH('Non-Functional'!$R14,'Non-Functional'!$N14:$X14,0))-1)/(COUNTA('Non-Functional'!$N14:$X14)-COUNTBLANK('Non-Functional'!$N14:$X14)-1)))</f>
        <v/>
      </c>
      <c r="AD14" s="237" t="str" cm="1">
        <f t="array" ref="AD14">IF('Non-Functional'!$S14="","",'Non-Functional'!$H14-('Non-Functional'!$H14*((_xlfn.XMATCH('Non-Functional'!$S14,'Non-Functional'!$N14:$X14,0))-1)/(COUNTA('Non-Functional'!$N14:$X14)-COUNTBLANK('Non-Functional'!$N14:$X14)-1)))</f>
        <v/>
      </c>
      <c r="AE14" s="237" t="str" cm="1">
        <f t="array" ref="AE14">IF('Non-Functional'!$T14="","",'Non-Functional'!$H14-('Non-Functional'!$H14*((_xlfn.XMATCH('Non-Functional'!$T14,'Non-Functional'!$N14:$X14,0))-1)/(COUNTA('Non-Functional'!$N14:$X14)-COUNTBLANK('Non-Functional'!$N14:$X14)-1)))</f>
        <v/>
      </c>
      <c r="AF14" s="237" t="str" cm="1">
        <f t="array" ref="AF14">IF('Non-Functional'!$U14="","",'Non-Functional'!$H14-('Non-Functional'!$H14*((_xlfn.XMATCH('Non-Functional'!$U14,'Non-Functional'!$N14:$X14,0))-1)/(COUNTA('Non-Functional'!$N14:$X14)-COUNTBLANK('Non-Functional'!$N14:$X14)-1)))</f>
        <v/>
      </c>
      <c r="AG14" s="237" t="str" cm="1">
        <f t="array" ref="AG14">IF('Non-Functional'!$V14="","",'Non-Functional'!$H14-('Non-Functional'!$H14*((_xlfn.XMATCH('Non-Functional'!$V14,'Non-Functional'!$N14:$X14,0))-1)/(COUNTA('Non-Functional'!$N14:$X14)-COUNTBLANK('Non-Functional'!$N14:$X14)-1)))</f>
        <v/>
      </c>
      <c r="AH14" s="237" t="str" cm="1">
        <f t="array" ref="AH14">IF('Non-Functional'!$W14="","",'Non-Functional'!$H14-('Non-Functional'!$H14*((_xlfn.XMATCH('Non-Functional'!$W14,'Non-Functional'!$N14:$X14,0))-1)/(COUNTA('Non-Functional'!$N14:$X14)-COUNTBLANK('Non-Functional'!$N14:$X14)-1)))</f>
        <v/>
      </c>
      <c r="AI14" s="251" t="str" cm="1">
        <f t="array" ref="AI14">IF('Non-Functional'!$X14="","",'Non-Functional'!$H14-('Non-Functional'!$H14*((_xlfn.XMATCH('Non-Functional'!$X14,'Non-Functional'!$N14:$X14,0))-1)/(COUNTA('Non-Functional'!$N14:$X14)-COUNTBLANK('Non-Functional'!$N14:$X14)-1)))</f>
        <v/>
      </c>
    </row>
    <row r="15" spans="1:35" ht="84" x14ac:dyDescent="0.2">
      <c r="A15" s="218" t="s">
        <v>250</v>
      </c>
      <c r="B15" s="219" t="s">
        <v>641</v>
      </c>
      <c r="C15" s="219" t="s">
        <v>642</v>
      </c>
      <c r="D15" s="238"/>
      <c r="E15" s="219" t="s">
        <v>55</v>
      </c>
      <c r="F15" s="220" t="s">
        <v>248</v>
      </c>
      <c r="G15" s="220" cm="1">
        <f t="array" ref="G15">_xlfn.IFS(F15="","",F15="No interest",0,F15="Nice to have",1,F15="Useful",2,F15="Important",3,F15="Very important",4,F15="Critical",5,F15="Show stopper",6)</f>
        <v>4</v>
      </c>
      <c r="H15" s="221">
        <f t="shared" si="0"/>
        <v>7.4999999999999997E-3</v>
      </c>
      <c r="I15" s="222" t="s">
        <v>251</v>
      </c>
      <c r="J15" s="222" t="str" cm="1">
        <f t="array" ref="J15">_xlfn.TEXTJOIN(" "&amp;CHAR(10),,TEXT(SUBSTITUTE('Non-Functional'!$Y15:$AI15,".",","),"0,00%"))</f>
        <v>0,0075 
0,00375 
0,00%</v>
      </c>
      <c r="K15" s="223" t="s">
        <v>252</v>
      </c>
      <c r="L15" s="224">
        <f>H15-(H15*((MATCH('Non-Functional'!$K15,'Non-Functional'!$N15:$X15,0)-1)/(COUNTA('Non-Functional'!$N15:$X15)-COUNTBLANK('Non-Functional'!$N15:$X15)-1)))</f>
        <v>7.4999999999999997E-3</v>
      </c>
      <c r="M15" s="225"/>
      <c r="N15" s="226" t="str" cm="1">
        <f t="array" ref="N15">IFERROR(INDEX(_xlfn.UNIQUE(TRIM(_xlfn.TEXTSPLIT('Non-Functional'!$I15,","))),,N$11),"")</f>
        <v>100= Solution supports an average hit rate &gt; 114 hits / sec</v>
      </c>
      <c r="O15" s="226" t="str" cm="1">
        <f t="array" ref="O15">IFERROR(INDEX(_xlfn.UNIQUE(TRIM(_xlfn.TEXTSPLIT('Non-Functional'!$I15,","))),,O$11),"")</f>
        <v xml:space="preserve">
50= Solution supports an average hit rate &lt;= 114 hits / sec</v>
      </c>
      <c r="P15" s="226" t="str" cm="1">
        <f t="array" ref="P15">IFERROR(INDEX(_xlfn.UNIQUE(TRIM(_xlfn.TEXTSPLIT('Non-Functional'!$I15,","))),,P$11),"")</f>
        <v xml:space="preserve">
0 = No performance testing results received</v>
      </c>
      <c r="Q15" s="226" t="str" cm="1">
        <f t="array" ref="Q15">IFERROR(INDEX(_xlfn.UNIQUE(TRIM(_xlfn.TEXTSPLIT('Non-Functional'!$I15,","))),,Q$11),"")</f>
        <v/>
      </c>
      <c r="R15" s="226" t="str" cm="1">
        <f t="array" ref="R15">IFERROR(INDEX(_xlfn.UNIQUE(TRIM(_xlfn.TEXTSPLIT('Non-Functional'!$I15,","))),,R$11),"")</f>
        <v/>
      </c>
      <c r="S15" s="226" t="str" cm="1">
        <f t="array" ref="S15">IFERROR(INDEX(_xlfn.UNIQUE(TRIM(_xlfn.TEXTSPLIT('Non-Functional'!$I15,","))),,S$11),"")</f>
        <v/>
      </c>
      <c r="T15" s="226" t="str" cm="1">
        <f t="array" ref="T15">IFERROR(INDEX(_xlfn.UNIQUE(TRIM(_xlfn.TEXTSPLIT('Non-Functional'!$I15,","))),,T$11),"")</f>
        <v/>
      </c>
      <c r="U15" s="226" t="str" cm="1">
        <f t="array" ref="U15">IFERROR(INDEX(_xlfn.UNIQUE(TRIM(_xlfn.TEXTSPLIT('Non-Functional'!$I15,","))),,U$11),"")</f>
        <v/>
      </c>
      <c r="V15" s="226" t="str" cm="1">
        <f t="array" ref="V15">IFERROR(INDEX(_xlfn.UNIQUE(TRIM(_xlfn.TEXTSPLIT('Non-Functional'!$I15,","))),,V$11),"")</f>
        <v/>
      </c>
      <c r="W15" s="226" t="str" cm="1">
        <f t="array" ref="W15">IFERROR(INDEX(_xlfn.UNIQUE(TRIM(_xlfn.TEXTSPLIT('Non-Functional'!$I15,","))),,W$11),"")</f>
        <v/>
      </c>
      <c r="X15" s="226" t="str" cm="1">
        <f t="array" ref="X15">IFERROR(INDEX(_xlfn.UNIQUE(TRIM(_xlfn.TEXTSPLIT('Non-Functional'!$I15,","))),,X$11),"")</f>
        <v/>
      </c>
      <c r="Y15" s="227" cm="1">
        <f t="array" ref="Y15">IF('Non-Functional'!$N15="","",'Non-Functional'!$H15-('Non-Functional'!$H15*((_xlfn.XMATCH('Non-Functional'!$N15,'Non-Functional'!$N15:$X15,0))-1)/(COUNTA('Non-Functional'!$N15:$X15)-COUNTBLANK('Non-Functional'!$N15:$X15)-1)))</f>
        <v>7.4999999999999997E-3</v>
      </c>
      <c r="Z15" s="227" cm="1">
        <f t="array" ref="Z15">IF('Non-Functional'!$O15="","",'Non-Functional'!$H15-('Non-Functional'!$H15*((_xlfn.XMATCH('Non-Functional'!$O15,'Non-Functional'!$N15:$X15,0))-1)/(COUNTA('Non-Functional'!$N15:$X15)-COUNTBLANK('Non-Functional'!$N15:$X15)-1)))</f>
        <v>3.7499999999999999E-3</v>
      </c>
      <c r="AA15" s="227" cm="1">
        <f t="array" ref="AA15">IF('Non-Functional'!$P15="","",'Non-Functional'!$H15-('Non-Functional'!$H15*((_xlfn.XMATCH('Non-Functional'!$P15,'Non-Functional'!$N15:$X15,0))-1)/(COUNTA('Non-Functional'!$N15:$X15)-COUNTBLANK('Non-Functional'!$N15:$X15)-1)))</f>
        <v>0</v>
      </c>
      <c r="AB15" s="227" t="str" cm="1">
        <f t="array" ref="AB15">IF('Non-Functional'!$Q15="","",'Non-Functional'!$H15-('Non-Functional'!$H15*((_xlfn.XMATCH('Non-Functional'!$Q15,'Non-Functional'!$N15:$X15,0))-1)/(COUNTA('Non-Functional'!$N15:$X15)-COUNTBLANK('Non-Functional'!$N15:$X15)-1)))</f>
        <v/>
      </c>
      <c r="AC15" s="227" t="str" cm="1">
        <f t="array" ref="AC15">IF('Non-Functional'!$R15="","",'Non-Functional'!$H15-('Non-Functional'!$H15*((_xlfn.XMATCH('Non-Functional'!$R15,'Non-Functional'!$N15:$X15,0))-1)/(COUNTA('Non-Functional'!$N15:$X15)-COUNTBLANK('Non-Functional'!$N15:$X15)-1)))</f>
        <v/>
      </c>
      <c r="AD15" s="227" t="str" cm="1">
        <f t="array" ref="AD15">IF('Non-Functional'!$S15="","",'Non-Functional'!$H15-('Non-Functional'!$H15*((_xlfn.XMATCH('Non-Functional'!$S15,'Non-Functional'!$N15:$X15,0))-1)/(COUNTA('Non-Functional'!$N15:$X15)-COUNTBLANK('Non-Functional'!$N15:$X15)-1)))</f>
        <v/>
      </c>
      <c r="AE15" s="227" t="str" cm="1">
        <f t="array" ref="AE15">IF('Non-Functional'!$T15="","",'Non-Functional'!$H15-('Non-Functional'!$H15*((_xlfn.XMATCH('Non-Functional'!$T15,'Non-Functional'!$N15:$X15,0))-1)/(COUNTA('Non-Functional'!$N15:$X15)-COUNTBLANK('Non-Functional'!$N15:$X15)-1)))</f>
        <v/>
      </c>
      <c r="AF15" s="227" t="str" cm="1">
        <f t="array" ref="AF15">IF('Non-Functional'!$U15="","",'Non-Functional'!$H15-('Non-Functional'!$H15*((_xlfn.XMATCH('Non-Functional'!$U15,'Non-Functional'!$N15:$X15,0))-1)/(COUNTA('Non-Functional'!$N15:$X15)-COUNTBLANK('Non-Functional'!$N15:$X15)-1)))</f>
        <v/>
      </c>
      <c r="AG15" s="227" t="str" cm="1">
        <f t="array" ref="AG15">IF('Non-Functional'!$V15="","",'Non-Functional'!$H15-('Non-Functional'!$H15*((_xlfn.XMATCH('Non-Functional'!$V15,'Non-Functional'!$N15:$X15,0))-1)/(COUNTA('Non-Functional'!$N15:$X15)-COUNTBLANK('Non-Functional'!$N15:$X15)-1)))</f>
        <v/>
      </c>
      <c r="AH15" s="227" t="str" cm="1">
        <f t="array" ref="AH15">IF('Non-Functional'!$W15="","",'Non-Functional'!$H15-('Non-Functional'!$H15*((_xlfn.XMATCH('Non-Functional'!$W15,'Non-Functional'!$N15:$X15,0))-1)/(COUNTA('Non-Functional'!$N15:$X15)-COUNTBLANK('Non-Functional'!$N15:$X15)-1)))</f>
        <v/>
      </c>
      <c r="AI15" s="250" t="str" cm="1">
        <f t="array" ref="AI15">IF('Non-Functional'!$X15="","",'Non-Functional'!$H15-('Non-Functional'!$H15*((_xlfn.XMATCH('Non-Functional'!$X15,'Non-Functional'!$N15:$X15,0))-1)/(COUNTA('Non-Functional'!$N15:$X15)-COUNTBLANK('Non-Functional'!$N15:$X15)-1)))</f>
        <v/>
      </c>
    </row>
    <row r="16" spans="1:35" ht="72" x14ac:dyDescent="0.2">
      <c r="A16" s="228" t="s">
        <v>253</v>
      </c>
      <c r="B16" s="229" t="s">
        <v>643</v>
      </c>
      <c r="C16" s="229" t="s">
        <v>254</v>
      </c>
      <c r="D16" s="230"/>
      <c r="E16" s="229" t="s">
        <v>55</v>
      </c>
      <c r="F16" s="231" t="s">
        <v>248</v>
      </c>
      <c r="G16" s="231" cm="1">
        <f t="array" ref="G16">_xlfn.IFS(F16="","",F16="No interest",0,F16="Nice to have",1,F16="Useful",2,F16="Important",3,F16="Very important",4,F16="Critical",5,F16="Show stopper",6)</f>
        <v>4</v>
      </c>
      <c r="H16" s="232">
        <f t="shared" si="0"/>
        <v>7.4999999999999997E-3</v>
      </c>
      <c r="I16" s="233" t="s">
        <v>646</v>
      </c>
      <c r="J16" s="233" t="str" cm="1">
        <f t="array" ref="J16">_xlfn.TEXTJOIN(" "&amp;CHAR(10),,TEXT(SUBSTITUTE('Non-Functional'!$Y16:$AI16,".",","),"0,00%"))</f>
        <v>0,0075 
0,00375 
0,00%</v>
      </c>
      <c r="K16" s="234" t="s">
        <v>649</v>
      </c>
      <c r="L16" s="235">
        <f>H16-(H16*((MATCH('Non-Functional'!$K16,'Non-Functional'!$N16:$X16,0)-1)/(COUNTA('Non-Functional'!$N16:$X16)-COUNTBLANK('Non-Functional'!$N16:$X16)-1)))</f>
        <v>7.4999999999999997E-3</v>
      </c>
      <c r="M16" s="236"/>
      <c r="N16" s="43" t="str" cm="1">
        <f t="array" ref="N16">IFERROR(INDEX(_xlfn.UNIQUE(TRIM(_xlfn.TEXTSPLIT('Non-Functional'!$I16,","))),,N$11),"")</f>
        <v>100=Solution supports &gt;= 200 concurrent users</v>
      </c>
      <c r="O16" s="43" t="str" cm="1">
        <f t="array" ref="O16">IFERROR(INDEX(_xlfn.UNIQUE(TRIM(_xlfn.TEXTSPLIT('Non-Functional'!$I16,","))),,O$11),"")</f>
        <v xml:space="preserve">
50= Solution supports &lt; 200 concurrent users</v>
      </c>
      <c r="P16" s="43" t="str" cm="1">
        <f t="array" ref="P16">IFERROR(INDEX(_xlfn.UNIQUE(TRIM(_xlfn.TEXTSPLIT('Non-Functional'!$I16,","))),,P$11),"")</f>
        <v xml:space="preserve">
0 = No performance testing results received</v>
      </c>
      <c r="Q16" s="43" t="str" cm="1">
        <f t="array" ref="Q16">IFERROR(INDEX(_xlfn.UNIQUE(TRIM(_xlfn.TEXTSPLIT('Non-Functional'!$I16,","))),,Q$11),"")</f>
        <v/>
      </c>
      <c r="R16" s="43" t="str" cm="1">
        <f t="array" ref="R16">IFERROR(INDEX(_xlfn.UNIQUE(TRIM(_xlfn.TEXTSPLIT('Non-Functional'!$I16,","))),,R$11),"")</f>
        <v/>
      </c>
      <c r="S16" s="43" t="str" cm="1">
        <f t="array" ref="S16">IFERROR(INDEX(_xlfn.UNIQUE(TRIM(_xlfn.TEXTSPLIT('Non-Functional'!$I16,","))),,S$11),"")</f>
        <v/>
      </c>
      <c r="T16" s="43" t="str" cm="1">
        <f t="array" ref="T16">IFERROR(INDEX(_xlfn.UNIQUE(TRIM(_xlfn.TEXTSPLIT('Non-Functional'!$I16,","))),,T$11),"")</f>
        <v/>
      </c>
      <c r="U16" s="43" t="str" cm="1">
        <f t="array" ref="U16">IFERROR(INDEX(_xlfn.UNIQUE(TRIM(_xlfn.TEXTSPLIT('Non-Functional'!$I16,","))),,U$11),"")</f>
        <v/>
      </c>
      <c r="V16" s="43" t="str" cm="1">
        <f t="array" ref="V16">IFERROR(INDEX(_xlfn.UNIQUE(TRIM(_xlfn.TEXTSPLIT('Non-Functional'!$I16,","))),,V$11),"")</f>
        <v/>
      </c>
      <c r="W16" s="43" t="str" cm="1">
        <f t="array" ref="W16">IFERROR(INDEX(_xlfn.UNIQUE(TRIM(_xlfn.TEXTSPLIT('Non-Functional'!$I16,","))),,W$11),"")</f>
        <v/>
      </c>
      <c r="X16" s="43" t="str" cm="1">
        <f t="array" ref="X16">IFERROR(INDEX(_xlfn.UNIQUE(TRIM(_xlfn.TEXTSPLIT('Non-Functional'!$I16,","))),,X$11),"")</f>
        <v/>
      </c>
      <c r="Y16" s="237" cm="1">
        <f t="array" ref="Y16">IF('Non-Functional'!$N16="","",'Non-Functional'!$H16-('Non-Functional'!$H16*((_xlfn.XMATCH('Non-Functional'!$N16,'Non-Functional'!$N16:$X16,0))-1)/(COUNTA('Non-Functional'!$N16:$X16)-COUNTBLANK('Non-Functional'!$N16:$X16)-1)))</f>
        <v>7.4999999999999997E-3</v>
      </c>
      <c r="Z16" s="237" cm="1">
        <f t="array" ref="Z16">IF('Non-Functional'!$O16="","",'Non-Functional'!$H16-('Non-Functional'!$H16*((_xlfn.XMATCH('Non-Functional'!$O16,'Non-Functional'!$N16:$X16,0))-1)/(COUNTA('Non-Functional'!$N16:$X16)-COUNTBLANK('Non-Functional'!$N16:$X16)-1)))</f>
        <v>3.7499999999999999E-3</v>
      </c>
      <c r="AA16" s="237" cm="1">
        <f t="array" ref="AA16">IF('Non-Functional'!$P16="","",'Non-Functional'!$H16-('Non-Functional'!$H16*((_xlfn.XMATCH('Non-Functional'!$P16,'Non-Functional'!$N16:$X16,0))-1)/(COUNTA('Non-Functional'!$N16:$X16)-COUNTBLANK('Non-Functional'!$N16:$X16)-1)))</f>
        <v>0</v>
      </c>
      <c r="AB16" s="237" t="str" cm="1">
        <f t="array" ref="AB16">IF('Non-Functional'!$Q16="","",'Non-Functional'!$H16-('Non-Functional'!$H16*((_xlfn.XMATCH('Non-Functional'!$Q16,'Non-Functional'!$N16:$X16,0))-1)/(COUNTA('Non-Functional'!$N16:$X16)-COUNTBLANK('Non-Functional'!$N16:$X16)-1)))</f>
        <v/>
      </c>
      <c r="AC16" s="237" t="str" cm="1">
        <f t="array" ref="AC16">IF('Non-Functional'!$R16="","",'Non-Functional'!$H16-('Non-Functional'!$H16*((_xlfn.XMATCH('Non-Functional'!$R16,'Non-Functional'!$N16:$X16,0))-1)/(COUNTA('Non-Functional'!$N16:$X16)-COUNTBLANK('Non-Functional'!$N16:$X16)-1)))</f>
        <v/>
      </c>
      <c r="AD16" s="237" t="str" cm="1">
        <f t="array" ref="AD16">IF('Non-Functional'!$S16="","",'Non-Functional'!$H16-('Non-Functional'!$H16*((_xlfn.XMATCH('Non-Functional'!$S16,'Non-Functional'!$N16:$X16,0))-1)/(COUNTA('Non-Functional'!$N16:$X16)-COUNTBLANK('Non-Functional'!$N16:$X16)-1)))</f>
        <v/>
      </c>
      <c r="AE16" s="237" t="str" cm="1">
        <f t="array" ref="AE16">IF('Non-Functional'!$T16="","",'Non-Functional'!$H16-('Non-Functional'!$H16*((_xlfn.XMATCH('Non-Functional'!$T16,'Non-Functional'!$N16:$X16,0))-1)/(COUNTA('Non-Functional'!$N16:$X16)-COUNTBLANK('Non-Functional'!$N16:$X16)-1)))</f>
        <v/>
      </c>
      <c r="AF16" s="237" t="str" cm="1">
        <f t="array" ref="AF16">IF('Non-Functional'!$U16="","",'Non-Functional'!$H16-('Non-Functional'!$H16*((_xlfn.XMATCH('Non-Functional'!$U16,'Non-Functional'!$N16:$X16,0))-1)/(COUNTA('Non-Functional'!$N16:$X16)-COUNTBLANK('Non-Functional'!$N16:$X16)-1)))</f>
        <v/>
      </c>
      <c r="AG16" s="237" t="str" cm="1">
        <f t="array" ref="AG16">IF('Non-Functional'!$V16="","",'Non-Functional'!$H16-('Non-Functional'!$H16*((_xlfn.XMATCH('Non-Functional'!$V16,'Non-Functional'!$N16:$X16,0))-1)/(COUNTA('Non-Functional'!$N16:$X16)-COUNTBLANK('Non-Functional'!$N16:$X16)-1)))</f>
        <v/>
      </c>
      <c r="AH16" s="237" t="str" cm="1">
        <f t="array" ref="AH16">IF('Non-Functional'!$W16="","",'Non-Functional'!$H16-('Non-Functional'!$H16*((_xlfn.XMATCH('Non-Functional'!$W16,'Non-Functional'!$N16:$X16,0))-1)/(COUNTA('Non-Functional'!$N16:$X16)-COUNTBLANK('Non-Functional'!$N16:$X16)-1)))</f>
        <v/>
      </c>
      <c r="AI16" s="251" t="str" cm="1">
        <f t="array" ref="AI16">IF('Non-Functional'!$X16="","",'Non-Functional'!$H16-('Non-Functional'!$H16*((_xlfn.XMATCH('Non-Functional'!$X16,'Non-Functional'!$N16:$X16,0))-1)/(COUNTA('Non-Functional'!$N16:$X16)-COUNTBLANK('Non-Functional'!$N16:$X16)-1)))</f>
        <v/>
      </c>
    </row>
    <row r="17" spans="1:35" ht="84.75" thickBot="1" x14ac:dyDescent="0.25">
      <c r="A17" s="263" t="s">
        <v>255</v>
      </c>
      <c r="B17" s="264" t="s">
        <v>612</v>
      </c>
      <c r="C17" s="264" t="s">
        <v>623</v>
      </c>
      <c r="D17" s="265"/>
      <c r="E17" s="266" t="s">
        <v>55</v>
      </c>
      <c r="F17" s="267" t="s">
        <v>106</v>
      </c>
      <c r="G17" s="267" cm="1">
        <f t="array" ref="G17">_xlfn.IFS(F17="","",F17="No interest",0,F17="Nice to have",1,F17="Useful",2,F17="Important",3,F17="Very important",4,F17="Critical",5,F17="Show stopper",6)</f>
        <v>5</v>
      </c>
      <c r="H17" s="268">
        <f>(G17/$G$11)*$F$11</f>
        <v>9.3749999999999997E-3</v>
      </c>
      <c r="I17" s="269" t="s">
        <v>631</v>
      </c>
      <c r="J17" s="269" t="str" cm="1">
        <f t="array" ref="J17">_xlfn.TEXTJOIN(" "&amp;CHAR(10),,TEXT(SUBSTITUTE('Non-Functional'!$Y17:$AI17,".",","),"0,00%"))</f>
        <v>0,009375 
0,00%</v>
      </c>
      <c r="K17" s="270" t="s">
        <v>613</v>
      </c>
      <c r="L17" s="271">
        <f>H17-(H17*((MATCH('Non-Functional'!$K17,'Non-Functional'!$N17:$X17,0)-1)/(COUNTA('Non-Functional'!$N17:$X17)-COUNTBLANK('Non-Functional'!$N17:$X17)-1)))</f>
        <v>9.3749999999999997E-3</v>
      </c>
      <c r="M17" s="272"/>
      <c r="N17" s="262" t="str" cm="1">
        <f t="array" ref="N17">IFERROR(INDEX(_xlfn.UNIQUE(TRIM(_xlfn.TEXTSPLIT('Non-Functional'!$I17,","))),,N$11),"")</f>
        <v>100%: Fully comply with requirement</v>
      </c>
      <c r="O17" s="262" t="str" cm="1">
        <f t="array" ref="O17">IFERROR(INDEX(_xlfn.UNIQUE(TRIM(_xlfn.TEXTSPLIT('Non-Functional'!$I17,","))),,O$11),"")</f>
        <v xml:space="preserve">
0%: No details provided or Tenderer does not fully comply with the requirements.</v>
      </c>
      <c r="P17" s="262" t="str" cm="1">
        <f t="array" ref="P17">IFERROR(INDEX(_xlfn.UNIQUE(TRIM(_xlfn.TEXTSPLIT('Non-Functional'!$I17,","))),,P$11),"")</f>
        <v/>
      </c>
      <c r="Q17" s="262" t="str" cm="1">
        <f t="array" ref="Q17">IFERROR(INDEX(_xlfn.UNIQUE(TRIM(_xlfn.TEXTSPLIT('Non-Functional'!$I17,","))),,Q$11),"")</f>
        <v/>
      </c>
      <c r="R17" s="262" t="str" cm="1">
        <f t="array" ref="R17">IFERROR(INDEX(_xlfn.UNIQUE(TRIM(_xlfn.TEXTSPLIT('Non-Functional'!$I17,","))),,R$11),"")</f>
        <v/>
      </c>
      <c r="S17" s="262" t="str" cm="1">
        <f t="array" ref="S17">IFERROR(INDEX(_xlfn.UNIQUE(TRIM(_xlfn.TEXTSPLIT('Non-Functional'!$I17,","))),,S$11),"")</f>
        <v/>
      </c>
      <c r="T17" s="262" t="str" cm="1">
        <f t="array" ref="T17">IFERROR(INDEX(_xlfn.UNIQUE(TRIM(_xlfn.TEXTSPLIT('Non-Functional'!$I17,","))),,T$11),"")</f>
        <v/>
      </c>
      <c r="U17" s="262" t="str" cm="1">
        <f t="array" ref="U17">IFERROR(INDEX(_xlfn.UNIQUE(TRIM(_xlfn.TEXTSPLIT('Non-Functional'!$I17,","))),,U$11),"")</f>
        <v/>
      </c>
      <c r="V17" s="262" t="str" cm="1">
        <f t="array" ref="V17">IFERROR(INDEX(_xlfn.UNIQUE(TRIM(_xlfn.TEXTSPLIT('Non-Functional'!$I17,","))),,V$11),"")</f>
        <v/>
      </c>
      <c r="W17" s="262" t="str" cm="1">
        <f t="array" ref="W17">IFERROR(INDEX(_xlfn.UNIQUE(TRIM(_xlfn.TEXTSPLIT('Non-Functional'!$I17,","))),,W$11),"")</f>
        <v/>
      </c>
      <c r="X17" s="262" t="str" cm="1">
        <f t="array" ref="X17">IFERROR(INDEX(_xlfn.UNIQUE(TRIM(_xlfn.TEXTSPLIT('Non-Functional'!$I17,","))),,X$11),"")</f>
        <v/>
      </c>
      <c r="Y17" s="273">
        <f>H17</f>
        <v>9.3749999999999997E-3</v>
      </c>
      <c r="Z17" s="273">
        <f>H17*0</f>
        <v>0</v>
      </c>
      <c r="AA17" s="273" t="str" cm="1">
        <f t="array" ref="AA17">IF('Non-Functional'!$P17="","",'Non-Functional'!$H17-('Non-Functional'!$H17*((_xlfn.XMATCH('Non-Functional'!$P17,'Non-Functional'!$N17:$X17,0))-1)/(COUNTA('Non-Functional'!$N17:$X17)-COUNTBLANK('Non-Functional'!$N17:$X17)-1)))</f>
        <v/>
      </c>
      <c r="AB17" s="273" t="str" cm="1">
        <f t="array" ref="AB17">IF('Non-Functional'!$Q17="","",'Non-Functional'!$H17-('Non-Functional'!$H17*((_xlfn.XMATCH('Non-Functional'!$Q17,'Non-Functional'!$N17:$X17,0))-1)/(COUNTA('Non-Functional'!$N17:$X17)-COUNTBLANK('Non-Functional'!$N17:$X17)-1)))</f>
        <v/>
      </c>
      <c r="AC17" s="273" t="str" cm="1">
        <f t="array" ref="AC17">IF('Non-Functional'!$R17="","",'Non-Functional'!$H17-('Non-Functional'!$H17*((_xlfn.XMATCH('Non-Functional'!$R17,'Non-Functional'!$N17:$X17,0))-1)/(COUNTA('Non-Functional'!$N17:$X17)-COUNTBLANK('Non-Functional'!$N17:$X17)-1)))</f>
        <v/>
      </c>
      <c r="AD17" s="273" t="str" cm="1">
        <f t="array" ref="AD17">IF('Non-Functional'!$S17="","",'Non-Functional'!$H17-('Non-Functional'!$H17*((_xlfn.XMATCH('Non-Functional'!$S17,'Non-Functional'!$N17:$X17,0))-1)/(COUNTA('Non-Functional'!$N17:$X17)-COUNTBLANK('Non-Functional'!$N17:$X17)-1)))</f>
        <v/>
      </c>
      <c r="AE17" s="273" t="str" cm="1">
        <f t="array" ref="AE17">IF('Non-Functional'!$T17="","",'Non-Functional'!$H17-('Non-Functional'!$H17*((_xlfn.XMATCH('Non-Functional'!$T17,'Non-Functional'!$N17:$X17,0))-1)/(COUNTA('Non-Functional'!$N17:$X17)-COUNTBLANK('Non-Functional'!$N17:$X17)-1)))</f>
        <v/>
      </c>
      <c r="AF17" s="273" t="str" cm="1">
        <f t="array" ref="AF17">IF('Non-Functional'!$U17="","",'Non-Functional'!$H17-('Non-Functional'!$H17*((_xlfn.XMATCH('Non-Functional'!$U17,'Non-Functional'!$N17:$X17,0))-1)/(COUNTA('Non-Functional'!$N17:$X17)-COUNTBLANK('Non-Functional'!$N17:$X17)-1)))</f>
        <v/>
      </c>
      <c r="AG17" s="273" t="str" cm="1">
        <f t="array" ref="AG17">IF('Non-Functional'!$V17="","",'Non-Functional'!$H17-('Non-Functional'!$H17*((_xlfn.XMATCH('Non-Functional'!$V17,'Non-Functional'!$N17:$X17,0))-1)/(COUNTA('Non-Functional'!$N17:$X17)-COUNTBLANK('Non-Functional'!$N17:$X17)-1)))</f>
        <v/>
      </c>
      <c r="AH17" s="273" t="str" cm="1">
        <f t="array" ref="AH17">IF('Non-Functional'!$W17="","",'Non-Functional'!$H17-('Non-Functional'!$H17*((_xlfn.XMATCH('Non-Functional'!$W17,'Non-Functional'!$N17:$X17,0))-1)/(COUNTA('Non-Functional'!$N17:$X17)-COUNTBLANK('Non-Functional'!$N17:$X17)-1)))</f>
        <v/>
      </c>
      <c r="AI17" s="274" t="str" cm="1">
        <f t="array" ref="AI17">IF('Non-Functional'!$X17="","",'Non-Functional'!$H17-('Non-Functional'!$H17*((_xlfn.XMATCH('Non-Functional'!$X17,'Non-Functional'!$N17:$X17,0))-1)/(COUNTA('Non-Functional'!$N17:$X17)-COUNTBLANK('Non-Functional'!$N17:$X17)-1)))</f>
        <v/>
      </c>
    </row>
    <row r="18" spans="1:35" ht="96" x14ac:dyDescent="0.2">
      <c r="A18" s="239" t="s">
        <v>259</v>
      </c>
      <c r="B18" s="259" t="s">
        <v>256</v>
      </c>
      <c r="C18" s="260" t="s">
        <v>614</v>
      </c>
      <c r="D18" s="230"/>
      <c r="E18" s="229" t="s">
        <v>55</v>
      </c>
      <c r="F18" s="231" t="s">
        <v>106</v>
      </c>
      <c r="G18" s="231" cm="1">
        <f t="array" ref="G18">_xlfn.IFS(F18="","",F18="No interest",0,F18="Nice to have",1,F18="Useful",2,F18="Important",3,F18="Very important",4,F18="Critical",5,F18="Show stopper",6)</f>
        <v>5</v>
      </c>
      <c r="H18" s="232">
        <f>(G18/$G$11)*$F$11</f>
        <v>9.3749999999999997E-3</v>
      </c>
      <c r="I18" s="233" t="s">
        <v>633</v>
      </c>
      <c r="J18" s="233" t="str" cm="1">
        <f t="array" ref="J18">_xlfn.TEXTJOIN(" "&amp;CHAR(10),,TEXT(SUBSTITUTE('Non-Functional'!$Y18:$AI18,".",","),"0,00%"))</f>
        <v>0,009375 
0,0046875 
0,00%</v>
      </c>
      <c r="K18" s="234" t="s">
        <v>615</v>
      </c>
      <c r="L18" s="235">
        <f>H18-(H18*((MATCH('Non-Functional'!$K18,'Non-Functional'!$N18:$X18,0)-1)/(COUNTA('Non-Functional'!$N18:$X18)-COUNTBLANK('Non-Functional'!$N18:$X18)-1)))</f>
        <v>9.3749999999999997E-3</v>
      </c>
      <c r="M18" s="236"/>
      <c r="N18" s="43" t="str" cm="1">
        <f t="array" ref="N18">IFERROR(INDEX(_xlfn.UNIQUE(TRIM(_xlfn.TEXTSPLIT('Non-Functional'!$I18,","))),,N$11),"")</f>
        <v>1. Delivered out of the box / std functionality</v>
      </c>
      <c r="O18" s="43" t="str" cm="1">
        <f t="array" ref="O18">IFERROR(INDEX(_xlfn.UNIQUE(TRIM(_xlfn.TEXTSPLIT('Non-Functional'!$I18,","))),,O$11),"")</f>
        <v xml:space="preserve">
2. Delivered via a 3rd party OR customization</v>
      </c>
      <c r="P18" s="43" t="str" cm="1">
        <f t="array" ref="P18">IFERROR(INDEX(_xlfn.UNIQUE(TRIM(_xlfn.TEXTSPLIT('Non-Functional'!$I18,","))),,P$11),"")</f>
        <v xml:space="preserve">
3. Not currently supported or no detail provide.</v>
      </c>
      <c r="Q18" s="43" t="str" cm="1">
        <f t="array" ref="Q18">IFERROR(INDEX(_xlfn.UNIQUE(TRIM(_xlfn.TEXTSPLIT('Non-Functional'!$I18,","))),,Q$11),"")</f>
        <v/>
      </c>
      <c r="R18" s="43" t="str" cm="1">
        <f t="array" ref="R18">IFERROR(INDEX(_xlfn.UNIQUE(TRIM(_xlfn.TEXTSPLIT('Non-Functional'!$I18,","))),,R$11),"")</f>
        <v/>
      </c>
      <c r="S18" s="43" t="str" cm="1">
        <f t="array" ref="S18">IFERROR(INDEX(_xlfn.UNIQUE(TRIM(_xlfn.TEXTSPLIT('Non-Functional'!$I18,","))),,S$11),"")</f>
        <v/>
      </c>
      <c r="T18" s="43" t="str" cm="1">
        <f t="array" ref="T18">IFERROR(INDEX(_xlfn.UNIQUE(TRIM(_xlfn.TEXTSPLIT('Non-Functional'!$I18,","))),,T$11),"")</f>
        <v/>
      </c>
      <c r="U18" s="43" t="str" cm="1">
        <f t="array" ref="U18">IFERROR(INDEX(_xlfn.UNIQUE(TRIM(_xlfn.TEXTSPLIT('Non-Functional'!$I18,","))),,U$11),"")</f>
        <v/>
      </c>
      <c r="V18" s="43" t="str" cm="1">
        <f t="array" ref="V18">IFERROR(INDEX(_xlfn.UNIQUE(TRIM(_xlfn.TEXTSPLIT('Non-Functional'!$I18,","))),,V$11),"")</f>
        <v/>
      </c>
      <c r="W18" s="43" t="str" cm="1">
        <f t="array" ref="W18">IFERROR(INDEX(_xlfn.UNIQUE(TRIM(_xlfn.TEXTSPLIT('Non-Functional'!$I18,","))),,W$11),"")</f>
        <v/>
      </c>
      <c r="X18" s="43" t="str" cm="1">
        <f t="array" ref="X18">IFERROR(INDEX(_xlfn.UNIQUE(TRIM(_xlfn.TEXTSPLIT('Non-Functional'!$I18,","))),,X$11),"")</f>
        <v/>
      </c>
      <c r="Y18" s="237" cm="1">
        <f t="array" ref="Y18">IF('Non-Functional'!$N18="","",'Non-Functional'!$H18-('Non-Functional'!$H18*((_xlfn.XMATCH('Non-Functional'!$N18,'Non-Functional'!$N18:$X18,0))-1)/(COUNTA('Non-Functional'!$N18:$X18)-COUNTBLANK('Non-Functional'!$N18:$X18)-1)))</f>
        <v>9.3749999999999997E-3</v>
      </c>
      <c r="Z18" s="237" cm="1">
        <f t="array" ref="Z18">IF('Non-Functional'!$O18="","",'Non-Functional'!$H18-('Non-Functional'!$H18*((_xlfn.XMATCH('Non-Functional'!$O18,'Non-Functional'!$N18:$X18,0))-1)/(COUNTA('Non-Functional'!$N18:$X18)-COUNTBLANK('Non-Functional'!$N18:$X18)-1)))</f>
        <v>4.6874999999999998E-3</v>
      </c>
      <c r="AA18" s="237" cm="1">
        <f t="array" ref="AA18">IF('Non-Functional'!$P18="","",'Non-Functional'!$H18-('Non-Functional'!$H18*((_xlfn.XMATCH('Non-Functional'!$P18,'Non-Functional'!$N18:$X18,0))-1)/(COUNTA('Non-Functional'!$N18:$X18)-COUNTBLANK('Non-Functional'!$N18:$X18)-1)))</f>
        <v>0</v>
      </c>
      <c r="AB18" s="237" t="str" cm="1">
        <f t="array" ref="AB18">IF('Non-Functional'!$Q18="","",'Non-Functional'!$H18-('Non-Functional'!$H18*((_xlfn.XMATCH('Non-Functional'!$Q18,'Non-Functional'!$N18:$X18,0))-1)/(COUNTA('Non-Functional'!$N18:$X18)-COUNTBLANK('Non-Functional'!$N18:$X18)-1)))</f>
        <v/>
      </c>
      <c r="AC18" s="237" t="str" cm="1">
        <f t="array" ref="AC18">IF('Non-Functional'!$R18="","",'Non-Functional'!$H18-('Non-Functional'!$H18*((_xlfn.XMATCH('Non-Functional'!$R18,'Non-Functional'!$N18:$X18,0))-1)/(COUNTA('Non-Functional'!$N18:$X18)-COUNTBLANK('Non-Functional'!$N18:$X18)-1)))</f>
        <v/>
      </c>
      <c r="AD18" s="237" t="str" cm="1">
        <f t="array" ref="AD18">IF('Non-Functional'!$S18="","",'Non-Functional'!$H18-('Non-Functional'!$H18*((_xlfn.XMATCH('Non-Functional'!$S18,'Non-Functional'!$N18:$X18,0))-1)/(COUNTA('Non-Functional'!$N18:$X18)-COUNTBLANK('Non-Functional'!$N18:$X18)-1)))</f>
        <v/>
      </c>
      <c r="AE18" s="237" t="str" cm="1">
        <f t="array" ref="AE18">IF('Non-Functional'!$T18="","",'Non-Functional'!$H18-('Non-Functional'!$H18*((_xlfn.XMATCH('Non-Functional'!$T18,'Non-Functional'!$N18:$X18,0))-1)/(COUNTA('Non-Functional'!$N18:$X18)-COUNTBLANK('Non-Functional'!$N18:$X18)-1)))</f>
        <v/>
      </c>
      <c r="AF18" s="237" t="str" cm="1">
        <f t="array" ref="AF18">IF('Non-Functional'!$U18="","",'Non-Functional'!$H18-('Non-Functional'!$H18*((_xlfn.XMATCH('Non-Functional'!$U18,'Non-Functional'!$N18:$X18,0))-1)/(COUNTA('Non-Functional'!$N18:$X18)-COUNTBLANK('Non-Functional'!$N18:$X18)-1)))</f>
        <v/>
      </c>
      <c r="AG18" s="237" t="str" cm="1">
        <f t="array" ref="AG18">IF('Non-Functional'!$V18="","",'Non-Functional'!$H18-('Non-Functional'!$H18*((_xlfn.XMATCH('Non-Functional'!$V18,'Non-Functional'!$N18:$X18,0))-1)/(COUNTA('Non-Functional'!$N18:$X18)-COUNTBLANK('Non-Functional'!$N18:$X18)-1)))</f>
        <v/>
      </c>
      <c r="AH18" s="237" t="str" cm="1">
        <f t="array" ref="AH18">IF('Non-Functional'!$W18="","",'Non-Functional'!$H18-('Non-Functional'!$H18*((_xlfn.XMATCH('Non-Functional'!$W18,'Non-Functional'!$N18:$X18,0))-1)/(COUNTA('Non-Functional'!$N18:$X18)-COUNTBLANK('Non-Functional'!$N18:$X18)-1)))</f>
        <v/>
      </c>
      <c r="AI18" s="251" t="str" cm="1">
        <f t="array" ref="AI18">IF('Non-Functional'!$X18="","",'Non-Functional'!$H18-('Non-Functional'!$H18*((_xlfn.XMATCH('Non-Functional'!$X18,'Non-Functional'!$N18:$X18,0))-1)/(COUNTA('Non-Functional'!$N18:$X18)-COUNTBLANK('Non-Functional'!$N18:$X18)-1)))</f>
        <v/>
      </c>
    </row>
    <row r="19" spans="1:35" ht="96" x14ac:dyDescent="0.2">
      <c r="A19" s="240" t="s">
        <v>261</v>
      </c>
      <c r="B19" s="241" t="s">
        <v>260</v>
      </c>
      <c r="C19" s="241" t="s">
        <v>614</v>
      </c>
      <c r="D19" s="238"/>
      <c r="E19" s="219" t="s">
        <v>55</v>
      </c>
      <c r="F19" s="220" t="s">
        <v>106</v>
      </c>
      <c r="G19" s="220" cm="1">
        <f t="array" ref="G19">_xlfn.IFS(F19="","",F19="No interest",0,F19="Nice to have",1,F19="Useful",2,F19="Important",3,F19="Very important",4,F19="Critical",5,F19="Show stopper",6)</f>
        <v>5</v>
      </c>
      <c r="H19" s="221">
        <f t="shared" ref="H19:H25" si="1">(G19/$G$11)*$F$11</f>
        <v>9.3749999999999997E-3</v>
      </c>
      <c r="I19" s="222" t="s">
        <v>633</v>
      </c>
      <c r="J19" s="222" t="str" cm="1">
        <f t="array" ref="J19">_xlfn.TEXTJOIN(" "&amp;CHAR(10),,TEXT(SUBSTITUTE('Non-Functional'!$Y19:$AI19,".",","),"0,00%"))</f>
        <v>0,009375 
0,0046875 
0,00%</v>
      </c>
      <c r="K19" s="223" t="s">
        <v>615</v>
      </c>
      <c r="L19" s="224">
        <f>H19-(H19*((MATCH('Non-Functional'!$K19,'Non-Functional'!$N19:$X19,0)-1)/(COUNTA('Non-Functional'!$N19:$X19)-COUNTBLANK('Non-Functional'!$N19:$X19)-1)))</f>
        <v>9.3749999999999997E-3</v>
      </c>
      <c r="M19" s="225"/>
      <c r="N19" s="226" t="str" cm="1">
        <f t="array" ref="N19">IFERROR(INDEX(_xlfn.UNIQUE(TRIM(_xlfn.TEXTSPLIT('Non-Functional'!$I19,","))),,N$11),"")</f>
        <v>1. Delivered out of the box / std functionality</v>
      </c>
      <c r="O19" s="226" t="str" cm="1">
        <f t="array" ref="O19">IFERROR(INDEX(_xlfn.UNIQUE(TRIM(_xlfn.TEXTSPLIT('Non-Functional'!$I19,","))),,O$11),"")</f>
        <v xml:space="preserve">
2. Delivered via a 3rd party OR customization</v>
      </c>
      <c r="P19" s="226" t="str" cm="1">
        <f t="array" ref="P19">IFERROR(INDEX(_xlfn.UNIQUE(TRIM(_xlfn.TEXTSPLIT('Non-Functional'!$I19,","))),,P$11),"")</f>
        <v xml:space="preserve">
3. Not currently supported or no detail provide.</v>
      </c>
      <c r="Q19" s="226" t="str" cm="1">
        <f t="array" ref="Q19">IFERROR(INDEX(_xlfn.UNIQUE(TRIM(_xlfn.TEXTSPLIT('Non-Functional'!$I19,","))),,Q$11),"")</f>
        <v/>
      </c>
      <c r="R19" s="226" t="str" cm="1">
        <f t="array" ref="R19">IFERROR(INDEX(_xlfn.UNIQUE(TRIM(_xlfn.TEXTSPLIT('Non-Functional'!$I19,","))),,R$11),"")</f>
        <v/>
      </c>
      <c r="S19" s="226" t="str" cm="1">
        <f t="array" ref="S19">IFERROR(INDEX(_xlfn.UNIQUE(TRIM(_xlfn.TEXTSPLIT('Non-Functional'!$I19,","))),,S$11),"")</f>
        <v/>
      </c>
      <c r="T19" s="226" t="str" cm="1">
        <f t="array" ref="T19">IFERROR(INDEX(_xlfn.UNIQUE(TRIM(_xlfn.TEXTSPLIT('Non-Functional'!$I19,","))),,T$11),"")</f>
        <v/>
      </c>
      <c r="U19" s="226" t="str" cm="1">
        <f t="array" ref="U19">IFERROR(INDEX(_xlfn.UNIQUE(TRIM(_xlfn.TEXTSPLIT('Non-Functional'!$I19,","))),,U$11),"")</f>
        <v/>
      </c>
      <c r="V19" s="226" t="str" cm="1">
        <f t="array" ref="V19">IFERROR(INDEX(_xlfn.UNIQUE(TRIM(_xlfn.TEXTSPLIT('Non-Functional'!$I19,","))),,V$11),"")</f>
        <v/>
      </c>
      <c r="W19" s="226" t="str" cm="1">
        <f t="array" ref="W19">IFERROR(INDEX(_xlfn.UNIQUE(TRIM(_xlfn.TEXTSPLIT('Non-Functional'!$I19,","))),,W$11),"")</f>
        <v/>
      </c>
      <c r="X19" s="226" t="str" cm="1">
        <f t="array" ref="X19">IFERROR(INDEX(_xlfn.UNIQUE(TRIM(_xlfn.TEXTSPLIT('Non-Functional'!$I19,","))),,X$11),"")</f>
        <v/>
      </c>
      <c r="Y19" s="227" cm="1">
        <f t="array" ref="Y19">IF('Non-Functional'!$N19="","",'Non-Functional'!$H19-('Non-Functional'!$H19*((_xlfn.XMATCH('Non-Functional'!$N19,'Non-Functional'!$N19:$X19,0))-1)/(COUNTA('Non-Functional'!$N19:$X19)-COUNTBLANK('Non-Functional'!$N19:$X19)-1)))</f>
        <v>9.3749999999999997E-3</v>
      </c>
      <c r="Z19" s="227" cm="1">
        <f t="array" ref="Z19">IF('Non-Functional'!$O19="","",'Non-Functional'!$H19-('Non-Functional'!$H19*((_xlfn.XMATCH('Non-Functional'!$O19,'Non-Functional'!$N19:$X19,0))-1)/(COUNTA('Non-Functional'!$N19:$X19)-COUNTBLANK('Non-Functional'!$N19:$X19)-1)))</f>
        <v>4.6874999999999998E-3</v>
      </c>
      <c r="AA19" s="227" cm="1">
        <f t="array" ref="AA19">IF('Non-Functional'!$P19="","",'Non-Functional'!$H19-('Non-Functional'!$H19*((_xlfn.XMATCH('Non-Functional'!$P19,'Non-Functional'!$N19:$X19,0))-1)/(COUNTA('Non-Functional'!$N19:$X19)-COUNTBLANK('Non-Functional'!$N19:$X19)-1)))</f>
        <v>0</v>
      </c>
      <c r="AB19" s="227" t="str" cm="1">
        <f t="array" ref="AB19">IF('Non-Functional'!$Q19="","",'Non-Functional'!$H19-('Non-Functional'!$H19*((_xlfn.XMATCH('Non-Functional'!$Q19,'Non-Functional'!$N19:$X19,0))-1)/(COUNTA('Non-Functional'!$N19:$X19)-COUNTBLANK('Non-Functional'!$N19:$X19)-1)))</f>
        <v/>
      </c>
      <c r="AC19" s="227" t="str" cm="1">
        <f t="array" ref="AC19">IF('Non-Functional'!$R19="","",'Non-Functional'!$H19-('Non-Functional'!$H19*((_xlfn.XMATCH('Non-Functional'!$R19,'Non-Functional'!$N19:$X19,0))-1)/(COUNTA('Non-Functional'!$N19:$X19)-COUNTBLANK('Non-Functional'!$N19:$X19)-1)))</f>
        <v/>
      </c>
      <c r="AD19" s="227" t="str" cm="1">
        <f t="array" ref="AD19">IF('Non-Functional'!$S19="","",'Non-Functional'!$H19-('Non-Functional'!$H19*((_xlfn.XMATCH('Non-Functional'!$S19,'Non-Functional'!$N19:$X19,0))-1)/(COUNTA('Non-Functional'!$N19:$X19)-COUNTBLANK('Non-Functional'!$N19:$X19)-1)))</f>
        <v/>
      </c>
      <c r="AE19" s="227" t="str" cm="1">
        <f t="array" ref="AE19">IF('Non-Functional'!$T19="","",'Non-Functional'!$H19-('Non-Functional'!$H19*((_xlfn.XMATCH('Non-Functional'!$T19,'Non-Functional'!$N19:$X19,0))-1)/(COUNTA('Non-Functional'!$N19:$X19)-COUNTBLANK('Non-Functional'!$N19:$X19)-1)))</f>
        <v/>
      </c>
      <c r="AF19" s="227" t="str" cm="1">
        <f t="array" ref="AF19">IF('Non-Functional'!$U19="","",'Non-Functional'!$H19-('Non-Functional'!$H19*((_xlfn.XMATCH('Non-Functional'!$U19,'Non-Functional'!$N19:$X19,0))-1)/(COUNTA('Non-Functional'!$N19:$X19)-COUNTBLANK('Non-Functional'!$N19:$X19)-1)))</f>
        <v/>
      </c>
      <c r="AG19" s="227" t="str" cm="1">
        <f t="array" ref="AG19">IF('Non-Functional'!$V19="","",'Non-Functional'!$H19-('Non-Functional'!$H19*((_xlfn.XMATCH('Non-Functional'!$V19,'Non-Functional'!$N19:$X19,0))-1)/(COUNTA('Non-Functional'!$N19:$X19)-COUNTBLANK('Non-Functional'!$N19:$X19)-1)))</f>
        <v/>
      </c>
      <c r="AH19" s="227" t="str" cm="1">
        <f t="array" ref="AH19">IF('Non-Functional'!$W19="","",'Non-Functional'!$H19-('Non-Functional'!$H19*((_xlfn.XMATCH('Non-Functional'!$W19,'Non-Functional'!$N19:$X19,0))-1)/(COUNTA('Non-Functional'!$N19:$X19)-COUNTBLANK('Non-Functional'!$N19:$X19)-1)))</f>
        <v/>
      </c>
      <c r="AI19" s="250" t="str" cm="1">
        <f t="array" ref="AI19">IF('Non-Functional'!$X19="","",'Non-Functional'!$H19-('Non-Functional'!$H19*((_xlfn.XMATCH('Non-Functional'!$X19,'Non-Functional'!$N19:$X19,0))-1)/(COUNTA('Non-Functional'!$N19:$X19)-COUNTBLANK('Non-Functional'!$N19:$X19)-1)))</f>
        <v/>
      </c>
    </row>
    <row r="20" spans="1:35" ht="72" x14ac:dyDescent="0.2">
      <c r="A20" s="239" t="s">
        <v>263</v>
      </c>
      <c r="B20" s="260" t="s">
        <v>616</v>
      </c>
      <c r="C20" s="260" t="s">
        <v>617</v>
      </c>
      <c r="D20" s="230"/>
      <c r="E20" s="229" t="s">
        <v>55</v>
      </c>
      <c r="F20" s="231" t="s">
        <v>248</v>
      </c>
      <c r="G20" s="231" cm="1">
        <f t="array" ref="G20">_xlfn.IFS(F20="","",F20="No interest",0,F20="Nice to have",1,F20="Useful",2,F20="Important",3,F20="Very important",4,F20="Critical",5,F20="Show stopper",6)</f>
        <v>4</v>
      </c>
      <c r="H20" s="232">
        <f>(G20/$G$11)*$F$11</f>
        <v>7.4999999999999997E-3</v>
      </c>
      <c r="I20" s="233" t="s">
        <v>631</v>
      </c>
      <c r="J20" s="233" t="str" cm="1">
        <f t="array" ref="J20">_xlfn.TEXTJOIN(" "&amp;CHAR(10),,TEXT(SUBSTITUTE('Non-Functional'!$Y20:$AI20,".",","),"0,00%"))</f>
        <v>0,0075 
0,00%</v>
      </c>
      <c r="K20" s="234" t="s">
        <v>613</v>
      </c>
      <c r="L20" s="235">
        <f>H20-(H20*((MATCH('Non-Functional'!$K20,'Non-Functional'!$N20:$X20,0)-1)/(COUNTA('Non-Functional'!$N20:$X20)-COUNTBLANK('Non-Functional'!$N20:$X20)-1)))</f>
        <v>7.4999999999999997E-3</v>
      </c>
      <c r="M20" s="236"/>
      <c r="N20" s="43" t="str" cm="1">
        <f t="array" ref="N20">IFERROR(INDEX(_xlfn.UNIQUE(TRIM(_xlfn.TEXTSPLIT('Non-Functional'!$I20,","))),,N$11),"")</f>
        <v>100%: Fully comply with requirement</v>
      </c>
      <c r="O20" s="43" t="str" cm="1">
        <f t="array" ref="O20">IFERROR(INDEX(_xlfn.UNIQUE(TRIM(_xlfn.TEXTSPLIT('Non-Functional'!$I20,","))),,O$11),"")</f>
        <v xml:space="preserve">
0%: No details provided or Tenderer does not fully comply with the requirements.</v>
      </c>
      <c r="P20" s="43" t="str" cm="1">
        <f t="array" ref="P20">IFERROR(INDEX(_xlfn.UNIQUE(TRIM(_xlfn.TEXTSPLIT('Non-Functional'!$I20,","))),,P$11),"")</f>
        <v/>
      </c>
      <c r="Q20" s="43" t="str" cm="1">
        <f t="array" ref="Q20">IFERROR(INDEX(_xlfn.UNIQUE(TRIM(_xlfn.TEXTSPLIT('Non-Functional'!$I20,","))),,Q$11),"")</f>
        <v/>
      </c>
      <c r="R20" s="43" t="str" cm="1">
        <f t="array" ref="R20">IFERROR(INDEX(_xlfn.UNIQUE(TRIM(_xlfn.TEXTSPLIT('Non-Functional'!$I20,","))),,R$11),"")</f>
        <v/>
      </c>
      <c r="S20" s="43" t="str" cm="1">
        <f t="array" ref="S20">IFERROR(INDEX(_xlfn.UNIQUE(TRIM(_xlfn.TEXTSPLIT('Non-Functional'!$I20,","))),,S$11),"")</f>
        <v/>
      </c>
      <c r="T20" s="43" t="str" cm="1">
        <f t="array" ref="T20">IFERROR(INDEX(_xlfn.UNIQUE(TRIM(_xlfn.TEXTSPLIT('Non-Functional'!$I20,","))),,T$11),"")</f>
        <v/>
      </c>
      <c r="U20" s="43" t="str" cm="1">
        <f t="array" ref="U20">IFERROR(INDEX(_xlfn.UNIQUE(TRIM(_xlfn.TEXTSPLIT('Non-Functional'!$I20,","))),,U$11),"")</f>
        <v/>
      </c>
      <c r="V20" s="43" t="str" cm="1">
        <f t="array" ref="V20">IFERROR(INDEX(_xlfn.UNIQUE(TRIM(_xlfn.TEXTSPLIT('Non-Functional'!$I20,","))),,V$11),"")</f>
        <v/>
      </c>
      <c r="W20" s="43" t="str" cm="1">
        <f t="array" ref="W20">IFERROR(INDEX(_xlfn.UNIQUE(TRIM(_xlfn.TEXTSPLIT('Non-Functional'!$I20,","))),,W$11),"")</f>
        <v/>
      </c>
      <c r="X20" s="43" t="str" cm="1">
        <f t="array" ref="X20">IFERROR(INDEX(_xlfn.UNIQUE(TRIM(_xlfn.TEXTSPLIT('Non-Functional'!$I20,","))),,X$11),"")</f>
        <v/>
      </c>
      <c r="Y20" s="237">
        <f>H20</f>
        <v>7.4999999999999997E-3</v>
      </c>
      <c r="Z20" s="237">
        <f>H20*0</f>
        <v>0</v>
      </c>
      <c r="AA20" s="237" t="str" cm="1">
        <f t="array" ref="AA20">IF('Non-Functional'!$P20="","",'Non-Functional'!$H20-('Non-Functional'!$H20*((_xlfn.XMATCH('Non-Functional'!$P20,'Non-Functional'!$N20:$X20,0))-1)/(COUNTA('Non-Functional'!$N20:$X20)-COUNTBLANK('Non-Functional'!$N20:$X20)-1)))</f>
        <v/>
      </c>
      <c r="AB20" s="237" t="str" cm="1">
        <f t="array" ref="AB20">IF('Non-Functional'!$Q20="","",'Non-Functional'!$H20-('Non-Functional'!$H20*((_xlfn.XMATCH('Non-Functional'!$Q20,'Non-Functional'!$N20:$X20,0))-1)/(COUNTA('Non-Functional'!$N20:$X20)-COUNTBLANK('Non-Functional'!$N20:$X20)-1)))</f>
        <v/>
      </c>
      <c r="AC20" s="237" t="str" cm="1">
        <f t="array" ref="AC20">IF('Non-Functional'!$R20="","",'Non-Functional'!$H20-('Non-Functional'!$H20*((_xlfn.XMATCH('Non-Functional'!$R20,'Non-Functional'!$N20:$X20,0))-1)/(COUNTA('Non-Functional'!$N20:$X20)-COUNTBLANK('Non-Functional'!$N20:$X20)-1)))</f>
        <v/>
      </c>
      <c r="AD20" s="237" t="str" cm="1">
        <f t="array" ref="AD20">IF('Non-Functional'!$S20="","",'Non-Functional'!$H20-('Non-Functional'!$H20*((_xlfn.XMATCH('Non-Functional'!$S20,'Non-Functional'!$N20:$X20,0))-1)/(COUNTA('Non-Functional'!$N20:$X20)-COUNTBLANK('Non-Functional'!$N20:$X20)-1)))</f>
        <v/>
      </c>
      <c r="AE20" s="237" t="str" cm="1">
        <f t="array" ref="AE20">IF('Non-Functional'!$T20="","",'Non-Functional'!$H20-('Non-Functional'!$H20*((_xlfn.XMATCH('Non-Functional'!$T20,'Non-Functional'!$N20:$X20,0))-1)/(COUNTA('Non-Functional'!$N20:$X20)-COUNTBLANK('Non-Functional'!$N20:$X20)-1)))</f>
        <v/>
      </c>
      <c r="AF20" s="237" t="str" cm="1">
        <f t="array" ref="AF20">IF('Non-Functional'!$U20="","",'Non-Functional'!$H20-('Non-Functional'!$H20*((_xlfn.XMATCH('Non-Functional'!$U20,'Non-Functional'!$N20:$X20,0))-1)/(COUNTA('Non-Functional'!$N20:$X20)-COUNTBLANK('Non-Functional'!$N20:$X20)-1)))</f>
        <v/>
      </c>
      <c r="AG20" s="237" t="str" cm="1">
        <f t="array" ref="AG20">IF('Non-Functional'!$V20="","",'Non-Functional'!$H20-('Non-Functional'!$H20*((_xlfn.XMATCH('Non-Functional'!$V20,'Non-Functional'!$N20:$X20,0))-1)/(COUNTA('Non-Functional'!$N20:$X20)-COUNTBLANK('Non-Functional'!$N20:$X20)-1)))</f>
        <v/>
      </c>
      <c r="AH20" s="237" t="str" cm="1">
        <f t="array" ref="AH20">IF('Non-Functional'!$W20="","",'Non-Functional'!$H20-('Non-Functional'!$H20*((_xlfn.XMATCH('Non-Functional'!$W20,'Non-Functional'!$N20:$X20,0))-1)/(COUNTA('Non-Functional'!$N20:$X20)-COUNTBLANK('Non-Functional'!$N20:$X20)-1)))</f>
        <v/>
      </c>
      <c r="AI20" s="251" t="str" cm="1">
        <f t="array" ref="AI20">IF('Non-Functional'!$X20="","",'Non-Functional'!$H20-('Non-Functional'!$H20*((_xlfn.XMATCH('Non-Functional'!$X20,'Non-Functional'!$N20:$X20,0))-1)/(COUNTA('Non-Functional'!$N20:$X20)-COUNTBLANK('Non-Functional'!$N20:$X20)-1)))</f>
        <v/>
      </c>
    </row>
    <row r="21" spans="1:35" ht="96" x14ac:dyDescent="0.2">
      <c r="A21" s="263" t="s">
        <v>265</v>
      </c>
      <c r="B21" s="264" t="s">
        <v>618</v>
      </c>
      <c r="C21" s="264" t="s">
        <v>622</v>
      </c>
      <c r="D21" s="265"/>
      <c r="E21" s="266" t="s">
        <v>55</v>
      </c>
      <c r="F21" s="267" t="s">
        <v>106</v>
      </c>
      <c r="G21" s="267" cm="1">
        <f t="array" ref="G21">_xlfn.IFS(F21="","",F21="No interest",0,F21="Nice to have",1,F21="Useful",2,F21="Important",3,F21="Very important",4,F21="Critical",5,F21="Show stopper",6)</f>
        <v>5</v>
      </c>
      <c r="H21" s="268">
        <f>(G21/$G$11)*$F$11</f>
        <v>9.3749999999999997E-3</v>
      </c>
      <c r="I21" s="269" t="s">
        <v>631</v>
      </c>
      <c r="J21" s="269" t="str" cm="1">
        <f t="array" ref="J21">_xlfn.TEXTJOIN(" "&amp;CHAR(10),,TEXT(SUBSTITUTE('Non-Functional'!$Y21:$AI21,".",","),"0,00%"))</f>
        <v>0,009375 
0,00%</v>
      </c>
      <c r="K21" s="270" t="s">
        <v>613</v>
      </c>
      <c r="L21" s="271">
        <f>H21-(H21*((MATCH('Non-Functional'!$K21,'Non-Functional'!$N21:$X21,0)-1)/(COUNTA('Non-Functional'!$N21:$X21)-COUNTBLANK('Non-Functional'!$N21:$X21)-1)))</f>
        <v>9.3749999999999997E-3</v>
      </c>
      <c r="M21" s="272"/>
      <c r="N21" s="262" t="str" cm="1">
        <f t="array" ref="N21">IFERROR(INDEX(_xlfn.UNIQUE(TRIM(_xlfn.TEXTSPLIT('Non-Functional'!$I21,","))),,N$11),"")</f>
        <v>100%: Fully comply with requirement</v>
      </c>
      <c r="O21" s="262" t="str" cm="1">
        <f t="array" ref="O21">IFERROR(INDEX(_xlfn.UNIQUE(TRIM(_xlfn.TEXTSPLIT('Non-Functional'!$I21,","))),,O$11),"")</f>
        <v xml:space="preserve">
0%: No details provided or Tenderer does not fully comply with the requirements.</v>
      </c>
      <c r="P21" s="262" t="str" cm="1">
        <f t="array" ref="P21">IFERROR(INDEX(_xlfn.UNIQUE(TRIM(_xlfn.TEXTSPLIT('Non-Functional'!$I21,","))),,P$11),"")</f>
        <v/>
      </c>
      <c r="Q21" s="262" t="str" cm="1">
        <f t="array" ref="Q21">IFERROR(INDEX(_xlfn.UNIQUE(TRIM(_xlfn.TEXTSPLIT('Non-Functional'!$I21,","))),,Q$11),"")</f>
        <v/>
      </c>
      <c r="R21" s="262" t="str" cm="1">
        <f t="array" ref="R21">IFERROR(INDEX(_xlfn.UNIQUE(TRIM(_xlfn.TEXTSPLIT('Non-Functional'!$I21,","))),,R$11),"")</f>
        <v/>
      </c>
      <c r="S21" s="262" t="str" cm="1">
        <f t="array" ref="S21">IFERROR(INDEX(_xlfn.UNIQUE(TRIM(_xlfn.TEXTSPLIT('Non-Functional'!$I21,","))),,S$11),"")</f>
        <v/>
      </c>
      <c r="T21" s="262" t="str" cm="1">
        <f t="array" ref="T21">IFERROR(INDEX(_xlfn.UNIQUE(TRIM(_xlfn.TEXTSPLIT('Non-Functional'!$I21,","))),,T$11),"")</f>
        <v/>
      </c>
      <c r="U21" s="262" t="str" cm="1">
        <f t="array" ref="U21">IFERROR(INDEX(_xlfn.UNIQUE(TRIM(_xlfn.TEXTSPLIT('Non-Functional'!$I21,","))),,U$11),"")</f>
        <v/>
      </c>
      <c r="V21" s="262" t="str" cm="1">
        <f t="array" ref="V21">IFERROR(INDEX(_xlfn.UNIQUE(TRIM(_xlfn.TEXTSPLIT('Non-Functional'!$I21,","))),,V$11),"")</f>
        <v/>
      </c>
      <c r="W21" s="262" t="str" cm="1">
        <f t="array" ref="W21">IFERROR(INDEX(_xlfn.UNIQUE(TRIM(_xlfn.TEXTSPLIT('Non-Functional'!$I21,","))),,W$11),"")</f>
        <v/>
      </c>
      <c r="X21" s="262" t="str" cm="1">
        <f t="array" ref="X21">IFERROR(INDEX(_xlfn.UNIQUE(TRIM(_xlfn.TEXTSPLIT('Non-Functional'!$I21,","))),,X$11),"")</f>
        <v/>
      </c>
      <c r="Y21" s="273">
        <f>H21</f>
        <v>9.3749999999999997E-3</v>
      </c>
      <c r="Z21" s="273">
        <f>H21*0</f>
        <v>0</v>
      </c>
      <c r="AA21" s="273" t="str" cm="1">
        <f t="array" ref="AA21">IF('Non-Functional'!$P21="","",'Non-Functional'!$H21-('Non-Functional'!$H21*((_xlfn.XMATCH('Non-Functional'!$P21,'Non-Functional'!$N21:$X21,0))-1)/(COUNTA('Non-Functional'!$N21:$X21)-COUNTBLANK('Non-Functional'!$N21:$X21)-1)))</f>
        <v/>
      </c>
      <c r="AB21" s="273" t="str" cm="1">
        <f t="array" ref="AB21">IF('Non-Functional'!$Q21="","",'Non-Functional'!$H21-('Non-Functional'!$H21*((_xlfn.XMATCH('Non-Functional'!$Q21,'Non-Functional'!$N21:$X21,0))-1)/(COUNTA('Non-Functional'!$N21:$X21)-COUNTBLANK('Non-Functional'!$N21:$X21)-1)))</f>
        <v/>
      </c>
      <c r="AC21" s="273" t="str" cm="1">
        <f t="array" ref="AC21">IF('Non-Functional'!$R21="","",'Non-Functional'!$H21-('Non-Functional'!$H21*((_xlfn.XMATCH('Non-Functional'!$R21,'Non-Functional'!$N21:$X21,0))-1)/(COUNTA('Non-Functional'!$N21:$X21)-COUNTBLANK('Non-Functional'!$N21:$X21)-1)))</f>
        <v/>
      </c>
      <c r="AD21" s="273" t="str" cm="1">
        <f t="array" ref="AD21">IF('Non-Functional'!$S21="","",'Non-Functional'!$H21-('Non-Functional'!$H21*((_xlfn.XMATCH('Non-Functional'!$S21,'Non-Functional'!$N21:$X21,0))-1)/(COUNTA('Non-Functional'!$N21:$X21)-COUNTBLANK('Non-Functional'!$N21:$X21)-1)))</f>
        <v/>
      </c>
      <c r="AE21" s="273" t="str" cm="1">
        <f t="array" ref="AE21">IF('Non-Functional'!$T21="","",'Non-Functional'!$H21-('Non-Functional'!$H21*((_xlfn.XMATCH('Non-Functional'!$T21,'Non-Functional'!$N21:$X21,0))-1)/(COUNTA('Non-Functional'!$N21:$X21)-COUNTBLANK('Non-Functional'!$N21:$X21)-1)))</f>
        <v/>
      </c>
      <c r="AF21" s="273" t="str" cm="1">
        <f t="array" ref="AF21">IF('Non-Functional'!$U21="","",'Non-Functional'!$H21-('Non-Functional'!$H21*((_xlfn.XMATCH('Non-Functional'!$U21,'Non-Functional'!$N21:$X21,0))-1)/(COUNTA('Non-Functional'!$N21:$X21)-COUNTBLANK('Non-Functional'!$N21:$X21)-1)))</f>
        <v/>
      </c>
      <c r="AG21" s="273" t="str" cm="1">
        <f t="array" ref="AG21">IF('Non-Functional'!$V21="","",'Non-Functional'!$H21-('Non-Functional'!$H21*((_xlfn.XMATCH('Non-Functional'!$V21,'Non-Functional'!$N21:$X21,0))-1)/(COUNTA('Non-Functional'!$N21:$X21)-COUNTBLANK('Non-Functional'!$N21:$X21)-1)))</f>
        <v/>
      </c>
      <c r="AH21" s="273" t="str" cm="1">
        <f t="array" ref="AH21">IF('Non-Functional'!$W21="","",'Non-Functional'!$H21-('Non-Functional'!$H21*((_xlfn.XMATCH('Non-Functional'!$W21,'Non-Functional'!$N21:$X21,0))-1)/(COUNTA('Non-Functional'!$N21:$X21)-COUNTBLANK('Non-Functional'!$N21:$X21)-1)))</f>
        <v/>
      </c>
      <c r="AI21" s="274" t="str" cm="1">
        <f t="array" ref="AI21">IF('Non-Functional'!$X21="","",'Non-Functional'!$H21-('Non-Functional'!$H21*((_xlfn.XMATCH('Non-Functional'!$X21,'Non-Functional'!$N21:$X21,0))-1)/(COUNTA('Non-Functional'!$N21:$X21)-COUNTBLANK('Non-Functional'!$N21:$X21)-1)))</f>
        <v/>
      </c>
    </row>
    <row r="22" spans="1:35" ht="144" x14ac:dyDescent="0.2">
      <c r="A22" s="239" t="s">
        <v>267</v>
      </c>
      <c r="B22" s="260" t="s">
        <v>619</v>
      </c>
      <c r="C22" s="260" t="s">
        <v>620</v>
      </c>
      <c r="D22" s="230"/>
      <c r="E22" s="229" t="s">
        <v>55</v>
      </c>
      <c r="F22" s="231" t="s">
        <v>106</v>
      </c>
      <c r="G22" s="231" cm="1">
        <f t="array" ref="G22">_xlfn.IFS(F22="","",F22="No interest",0,F22="Nice to have",1,F22="Useful",2,F22="Important",3,F22="Very important",4,F22="Critical",5,F22="Show stopper",6)</f>
        <v>5</v>
      </c>
      <c r="H22" s="232">
        <f t="shared" si="1"/>
        <v>9.3749999999999997E-3</v>
      </c>
      <c r="I22" s="233" t="s">
        <v>630</v>
      </c>
      <c r="J22" s="233" t="str" cm="1">
        <f t="array" ref="J22">_xlfn.TEXTJOIN(" "&amp;CHAR(10),,TEXT(SUBSTITUTE('Non-Functional'!$Y22:$AI22,".",","),"0,00%"))</f>
        <v>0,009375 
0,0046875 
0,00%</v>
      </c>
      <c r="K22" s="234" t="s">
        <v>621</v>
      </c>
      <c r="L22" s="235">
        <f>H22-(H22*((MATCH('Non-Functional'!$K22,'Non-Functional'!$N22:$X22,0)-1)/(COUNTA('Non-Functional'!$N22:$X22)-COUNTBLANK('Non-Functional'!$N22:$X22)-1)))</f>
        <v>9.3749999999999997E-3</v>
      </c>
      <c r="M22" s="236"/>
      <c r="N22" s="43" t="str" cm="1">
        <f t="array" ref="N22">IFERROR(INDEX(_xlfn.UNIQUE(TRIM(_xlfn.TEXTSPLIT('Non-Functional'!$I22,","))),,N$11),"")</f>
        <v>1: Fully comply with requirement</v>
      </c>
      <c r="O22" s="43" t="str" cm="1">
        <f t="array" ref="O22">IFERROR(INDEX(_xlfn.UNIQUE(TRIM(_xlfn.TEXTSPLIT('Non-Functional'!$I22,","))),,O$11),"")</f>
        <v xml:space="preserve">
2: Partially comply.Proprietory message structure)</v>
      </c>
      <c r="P22" s="43" t="str" cm="1">
        <f t="array" ref="P22">IFERROR(INDEX(_xlfn.UNIQUE(TRIM(_xlfn.TEXTSPLIT('Non-Functional'!$I22,","))),,P$11),"")</f>
        <v xml:space="preserve">
3: No details provided or Tenderer does not comply with the requirements</v>
      </c>
      <c r="Q22" s="43" t="str" cm="1">
        <f t="array" ref="Q22">IFERROR(INDEX(_xlfn.UNIQUE(TRIM(_xlfn.TEXTSPLIT('Non-Functional'!$I22,","))),,Q$11),"")</f>
        <v/>
      </c>
      <c r="R22" s="43" t="str" cm="1">
        <f t="array" ref="R22">IFERROR(INDEX(_xlfn.UNIQUE(TRIM(_xlfn.TEXTSPLIT('Non-Functional'!$I22,","))),,R$11),"")</f>
        <v/>
      </c>
      <c r="S22" s="43" t="str" cm="1">
        <f t="array" ref="S22">IFERROR(INDEX(_xlfn.UNIQUE(TRIM(_xlfn.TEXTSPLIT('Non-Functional'!$I22,","))),,S$11),"")</f>
        <v/>
      </c>
      <c r="T22" s="43" t="str" cm="1">
        <f t="array" ref="T22">IFERROR(INDEX(_xlfn.UNIQUE(TRIM(_xlfn.TEXTSPLIT('Non-Functional'!$I22,","))),,T$11),"")</f>
        <v/>
      </c>
      <c r="U22" s="43" t="str" cm="1">
        <f t="array" ref="U22">IFERROR(INDEX(_xlfn.UNIQUE(TRIM(_xlfn.TEXTSPLIT('Non-Functional'!$I22,","))),,U$11),"")</f>
        <v/>
      </c>
      <c r="V22" s="43" t="str" cm="1">
        <f t="array" ref="V22">IFERROR(INDEX(_xlfn.UNIQUE(TRIM(_xlfn.TEXTSPLIT('Non-Functional'!$I22,","))),,V$11),"")</f>
        <v/>
      </c>
      <c r="W22" s="43" t="str" cm="1">
        <f t="array" ref="W22">IFERROR(INDEX(_xlfn.UNIQUE(TRIM(_xlfn.TEXTSPLIT('Non-Functional'!$I22,","))),,W$11),"")</f>
        <v/>
      </c>
      <c r="X22" s="43" t="str" cm="1">
        <f t="array" ref="X22">IFERROR(INDEX(_xlfn.UNIQUE(TRIM(_xlfn.TEXTSPLIT('Non-Functional'!$I22,","))),,X$11),"")</f>
        <v/>
      </c>
      <c r="Y22" s="237" cm="1">
        <f t="array" ref="Y22">IF('Non-Functional'!$N22="","",'Non-Functional'!$H22-('Non-Functional'!$H22*((_xlfn.XMATCH('Non-Functional'!$N22,'Non-Functional'!$N22:$X22,0))-1)/(COUNTA('Non-Functional'!$N22:$X22)-COUNTBLANK('Non-Functional'!$N22:$X22)-1)))</f>
        <v>9.3749999999999997E-3</v>
      </c>
      <c r="Z22" s="237" cm="1">
        <f t="array" ref="Z22">IF('Non-Functional'!$O22="","",'Non-Functional'!$H22-('Non-Functional'!$H22*((_xlfn.XMATCH('Non-Functional'!$O22,'Non-Functional'!$N22:$X22,0))-1)/(COUNTA('Non-Functional'!$N22:$X22)-COUNTBLANK('Non-Functional'!$N22:$X22)-1)))</f>
        <v>4.6874999999999998E-3</v>
      </c>
      <c r="AA22" s="237" cm="1">
        <f t="array" ref="AA22">IF('Non-Functional'!$P22="","",'Non-Functional'!$H22-('Non-Functional'!$H22*((_xlfn.XMATCH('Non-Functional'!$P22,'Non-Functional'!$N22:$X22,0))-1)/(COUNTA('Non-Functional'!$N22:$X22)-COUNTBLANK('Non-Functional'!$N22:$X22)-1)))</f>
        <v>0</v>
      </c>
      <c r="AB22" s="237" t="str" cm="1">
        <f t="array" ref="AB22">IF('Non-Functional'!$Q22="","",'Non-Functional'!$H22-('Non-Functional'!$H22*((_xlfn.XMATCH('Non-Functional'!$Q22,'Non-Functional'!$N22:$X22,0))-1)/(COUNTA('Non-Functional'!$N22:$X22)-COUNTBLANK('Non-Functional'!$N22:$X22)-1)))</f>
        <v/>
      </c>
      <c r="AC22" s="237" t="str" cm="1">
        <f t="array" ref="AC22">IF('Non-Functional'!$R22="","",'Non-Functional'!$H22-('Non-Functional'!$H22*((_xlfn.XMATCH('Non-Functional'!$R22,'Non-Functional'!$N22:$X22,0))-1)/(COUNTA('Non-Functional'!$N22:$X22)-COUNTBLANK('Non-Functional'!$N22:$X22)-1)))</f>
        <v/>
      </c>
      <c r="AD22" s="237" t="str" cm="1">
        <f t="array" ref="AD22">IF('Non-Functional'!$S22="","",'Non-Functional'!$H22-('Non-Functional'!$H22*((_xlfn.XMATCH('Non-Functional'!$S22,'Non-Functional'!$N22:$X22,0))-1)/(COUNTA('Non-Functional'!$N22:$X22)-COUNTBLANK('Non-Functional'!$N22:$X22)-1)))</f>
        <v/>
      </c>
      <c r="AE22" s="237" t="str" cm="1">
        <f t="array" ref="AE22">IF('Non-Functional'!$T22="","",'Non-Functional'!$H22-('Non-Functional'!$H22*((_xlfn.XMATCH('Non-Functional'!$T22,'Non-Functional'!$N22:$X22,0))-1)/(COUNTA('Non-Functional'!$N22:$X22)-COUNTBLANK('Non-Functional'!$N22:$X22)-1)))</f>
        <v/>
      </c>
      <c r="AF22" s="237" t="str" cm="1">
        <f t="array" ref="AF22">IF('Non-Functional'!$U22="","",'Non-Functional'!$H22-('Non-Functional'!$H22*((_xlfn.XMATCH('Non-Functional'!$U22,'Non-Functional'!$N22:$X22,0))-1)/(COUNTA('Non-Functional'!$N22:$X22)-COUNTBLANK('Non-Functional'!$N22:$X22)-1)))</f>
        <v/>
      </c>
      <c r="AG22" s="237" t="str" cm="1">
        <f t="array" ref="AG22">IF('Non-Functional'!$V22="","",'Non-Functional'!$H22-('Non-Functional'!$H22*((_xlfn.XMATCH('Non-Functional'!$V22,'Non-Functional'!$N22:$X22,0))-1)/(COUNTA('Non-Functional'!$N22:$X22)-COUNTBLANK('Non-Functional'!$N22:$X22)-1)))</f>
        <v/>
      </c>
      <c r="AH22" s="237" t="str" cm="1">
        <f t="array" ref="AH22">IF('Non-Functional'!$W22="","",'Non-Functional'!$H22-('Non-Functional'!$H22*((_xlfn.XMATCH('Non-Functional'!$W22,'Non-Functional'!$N22:$X22,0))-1)/(COUNTA('Non-Functional'!$N22:$X22)-COUNTBLANK('Non-Functional'!$N22:$X22)-1)))</f>
        <v/>
      </c>
      <c r="AI22" s="251" t="str" cm="1">
        <f t="array" ref="AI22">IF('Non-Functional'!$X22="","",'Non-Functional'!$H22-('Non-Functional'!$H22*((_xlfn.XMATCH('Non-Functional'!$X22,'Non-Functional'!$N22:$X22,0))-1)/(COUNTA('Non-Functional'!$N22:$X22)-COUNTBLANK('Non-Functional'!$N22:$X22)-1)))</f>
        <v/>
      </c>
    </row>
    <row r="23" spans="1:35" ht="108" x14ac:dyDescent="0.2">
      <c r="A23" s="263" t="s">
        <v>269</v>
      </c>
      <c r="B23" s="264" t="s">
        <v>262</v>
      </c>
      <c r="C23" s="264" t="s">
        <v>624</v>
      </c>
      <c r="D23" s="265"/>
      <c r="E23" s="266" t="s">
        <v>55</v>
      </c>
      <c r="F23" s="267" t="s">
        <v>106</v>
      </c>
      <c r="G23" s="267" cm="1">
        <f t="array" ref="G23">_xlfn.IFS(F23="","",F23="No interest",0,F23="Nice to have",1,F23="Useful",2,F23="Important",3,F23="Very important",4,F23="Critical",5,F23="Show stopper",6)</f>
        <v>5</v>
      </c>
      <c r="H23" s="268">
        <f t="shared" ref="H23" si="2">(G23/$G$11)*$F$11</f>
        <v>9.3749999999999997E-3</v>
      </c>
      <c r="I23" s="269" t="s">
        <v>632</v>
      </c>
      <c r="J23" s="269" t="str" cm="1">
        <f t="array" ref="J23">_xlfn.TEXTJOIN(" "&amp;CHAR(10),,TEXT(SUBSTITUTE('Non-Functional'!$Y23:$AI23,".",","),"0,00%"))</f>
        <v>0,009375 
0,0046875 
0,00%</v>
      </c>
      <c r="K23" s="270" t="s">
        <v>258</v>
      </c>
      <c r="L23" s="271">
        <f>H23-(H23*((MATCH('Non-Functional'!$K23,'Non-Functional'!$N23:$X23,0)-1)/(COUNTA('Non-Functional'!$N23:$X23)-COUNTBLANK('Non-Functional'!$N23:$X23)-1)))</f>
        <v>9.3749999999999997E-3</v>
      </c>
      <c r="M23" s="272"/>
      <c r="N23" s="262" t="str" cm="1">
        <f t="array" ref="N23">IFERROR(INDEX(_xlfn.UNIQUE(TRIM(_xlfn.TEXTSPLIT('Non-Functional'!$I23,","))),,N$11),"")</f>
        <v>1. Functionality is delivered out of the box / std functionality</v>
      </c>
      <c r="O23" s="262" t="str" cm="1">
        <f t="array" ref="O23">IFERROR(INDEX(_xlfn.UNIQUE(TRIM(_xlfn.TEXTSPLIT('Non-Functional'!$I23,","))),,O$11),"")</f>
        <v xml:space="preserve">
2. Functionality is delivered via a 3rd party OR customization</v>
      </c>
      <c r="P23" s="262" t="str" cm="1">
        <f t="array" ref="P23">IFERROR(INDEX(_xlfn.UNIQUE(TRIM(_xlfn.TEXTSPLIT('Non-Functional'!$I23,","))),,P$11),"")</f>
        <v xml:space="preserve">
3. Functionality Not currently supported or no detail provide.</v>
      </c>
      <c r="Q23" s="262" t="str" cm="1">
        <f t="array" ref="Q23">IFERROR(INDEX(_xlfn.UNIQUE(TRIM(_xlfn.TEXTSPLIT('Non-Functional'!$I23,","))),,Q$11),"")</f>
        <v/>
      </c>
      <c r="R23" s="262" t="str" cm="1">
        <f t="array" ref="R23">IFERROR(INDEX(_xlfn.UNIQUE(TRIM(_xlfn.TEXTSPLIT('Non-Functional'!$I23,","))),,R$11),"")</f>
        <v/>
      </c>
      <c r="S23" s="262" t="str" cm="1">
        <f t="array" ref="S23">IFERROR(INDEX(_xlfn.UNIQUE(TRIM(_xlfn.TEXTSPLIT('Non-Functional'!$I23,","))),,S$11),"")</f>
        <v/>
      </c>
      <c r="T23" s="262" t="str" cm="1">
        <f t="array" ref="T23">IFERROR(INDEX(_xlfn.UNIQUE(TRIM(_xlfn.TEXTSPLIT('Non-Functional'!$I23,","))),,T$11),"")</f>
        <v/>
      </c>
      <c r="U23" s="262" t="str" cm="1">
        <f t="array" ref="U23">IFERROR(INDEX(_xlfn.UNIQUE(TRIM(_xlfn.TEXTSPLIT('Non-Functional'!$I23,","))),,U$11),"")</f>
        <v/>
      </c>
      <c r="V23" s="262" t="str" cm="1">
        <f t="array" ref="V23">IFERROR(INDEX(_xlfn.UNIQUE(TRIM(_xlfn.TEXTSPLIT('Non-Functional'!$I23,","))),,V$11),"")</f>
        <v/>
      </c>
      <c r="W23" s="262" t="str" cm="1">
        <f t="array" ref="W23">IFERROR(INDEX(_xlfn.UNIQUE(TRIM(_xlfn.TEXTSPLIT('Non-Functional'!$I23,","))),,W$11),"")</f>
        <v/>
      </c>
      <c r="X23" s="262" t="str" cm="1">
        <f t="array" ref="X23">IFERROR(INDEX(_xlfn.UNIQUE(TRIM(_xlfn.TEXTSPLIT('Non-Functional'!$I23,","))),,X$11),"")</f>
        <v/>
      </c>
      <c r="Y23" s="273" cm="1">
        <f t="array" ref="Y23">IF('Non-Functional'!$N23="","",'Non-Functional'!$H23-('Non-Functional'!$H23*((_xlfn.XMATCH('Non-Functional'!$N23,'Non-Functional'!$N23:$X23,0))-1)/(COUNTA('Non-Functional'!$N23:$X23)-COUNTBLANK('Non-Functional'!$N23:$X23)-1)))</f>
        <v>9.3749999999999997E-3</v>
      </c>
      <c r="Z23" s="273" cm="1">
        <f t="array" ref="Z23">IF('Non-Functional'!$O23="","",'Non-Functional'!$H23-('Non-Functional'!$H23*((_xlfn.XMATCH('Non-Functional'!$O23,'Non-Functional'!$N23:$X23,0))-1)/(COUNTA('Non-Functional'!$N23:$X23)-COUNTBLANK('Non-Functional'!$N23:$X23)-1)))</f>
        <v>4.6874999999999998E-3</v>
      </c>
      <c r="AA23" s="273" cm="1">
        <f t="array" ref="AA23">IF('Non-Functional'!$P23="","",'Non-Functional'!$H23-('Non-Functional'!$H23*((_xlfn.XMATCH('Non-Functional'!$P23,'Non-Functional'!$N23:$X23,0))-1)/(COUNTA('Non-Functional'!$N23:$X23)-COUNTBLANK('Non-Functional'!$N23:$X23)-1)))</f>
        <v>0</v>
      </c>
      <c r="AB23" s="273" t="str" cm="1">
        <f t="array" ref="AB23">IF('Non-Functional'!$Q23="","",'Non-Functional'!$H23-('Non-Functional'!$H23*((_xlfn.XMATCH('Non-Functional'!$Q23,'Non-Functional'!$N23:$X23,0))-1)/(COUNTA('Non-Functional'!$N23:$X23)-COUNTBLANK('Non-Functional'!$N23:$X23)-1)))</f>
        <v/>
      </c>
      <c r="AC23" s="273" t="str" cm="1">
        <f t="array" ref="AC23">IF('Non-Functional'!$R23="","",'Non-Functional'!$H23-('Non-Functional'!$H23*((_xlfn.XMATCH('Non-Functional'!$R23,'Non-Functional'!$N23:$X23,0))-1)/(COUNTA('Non-Functional'!$N23:$X23)-COUNTBLANK('Non-Functional'!$N23:$X23)-1)))</f>
        <v/>
      </c>
      <c r="AD23" s="273" t="str" cm="1">
        <f t="array" ref="AD23">IF('Non-Functional'!$S23="","",'Non-Functional'!$H23-('Non-Functional'!$H23*((_xlfn.XMATCH('Non-Functional'!$S23,'Non-Functional'!$N23:$X23,0))-1)/(COUNTA('Non-Functional'!$N23:$X23)-COUNTBLANK('Non-Functional'!$N23:$X23)-1)))</f>
        <v/>
      </c>
      <c r="AE23" s="273" t="str" cm="1">
        <f t="array" ref="AE23">IF('Non-Functional'!$T23="","",'Non-Functional'!$H23-('Non-Functional'!$H23*((_xlfn.XMATCH('Non-Functional'!$T23,'Non-Functional'!$N23:$X23,0))-1)/(COUNTA('Non-Functional'!$N23:$X23)-COUNTBLANK('Non-Functional'!$N23:$X23)-1)))</f>
        <v/>
      </c>
      <c r="AF23" s="273" t="str" cm="1">
        <f t="array" ref="AF23">IF('Non-Functional'!$U23="","",'Non-Functional'!$H23-('Non-Functional'!$H23*((_xlfn.XMATCH('Non-Functional'!$U23,'Non-Functional'!$N23:$X23,0))-1)/(COUNTA('Non-Functional'!$N23:$X23)-COUNTBLANK('Non-Functional'!$N23:$X23)-1)))</f>
        <v/>
      </c>
      <c r="AG23" s="273" t="str" cm="1">
        <f t="array" ref="AG23">IF('Non-Functional'!$V23="","",'Non-Functional'!$H23-('Non-Functional'!$H23*((_xlfn.XMATCH('Non-Functional'!$V23,'Non-Functional'!$N23:$X23,0))-1)/(COUNTA('Non-Functional'!$N23:$X23)-COUNTBLANK('Non-Functional'!$N23:$X23)-1)))</f>
        <v/>
      </c>
      <c r="AH23" s="273" t="str" cm="1">
        <f t="array" ref="AH23">IF('Non-Functional'!$W23="","",'Non-Functional'!$H23-('Non-Functional'!$H23*((_xlfn.XMATCH('Non-Functional'!$W23,'Non-Functional'!$N23:$X23,0))-1)/(COUNTA('Non-Functional'!$N23:$X23)-COUNTBLANK('Non-Functional'!$N23:$X23)-1)))</f>
        <v/>
      </c>
      <c r="AI23" s="274" t="str" cm="1">
        <f t="array" ref="AI23">IF('Non-Functional'!$X23="","",'Non-Functional'!$H23-('Non-Functional'!$H23*((_xlfn.XMATCH('Non-Functional'!$X23,'Non-Functional'!$N23:$X23,0))-1)/(COUNTA('Non-Functional'!$N23:$X23)-COUNTBLANK('Non-Functional'!$N23:$X23)-1)))</f>
        <v/>
      </c>
    </row>
    <row r="24" spans="1:35" ht="105.75" customHeight="1" x14ac:dyDescent="0.2">
      <c r="A24" s="239" t="s">
        <v>272</v>
      </c>
      <c r="B24" s="260" t="s">
        <v>264</v>
      </c>
      <c r="C24" s="260" t="s">
        <v>625</v>
      </c>
      <c r="D24" s="230"/>
      <c r="E24" s="229" t="s">
        <v>55</v>
      </c>
      <c r="F24" s="231" t="s">
        <v>106</v>
      </c>
      <c r="G24" s="231" cm="1">
        <f t="array" ref="G24">_xlfn.IFS(F24="","",F24="No interest",0,F24="Nice to have",1,F24="Useful",2,F24="Important",3,F24="Very important",4,F24="Critical",5,F24="Show stopper",6)</f>
        <v>5</v>
      </c>
      <c r="H24" s="232">
        <f t="shared" si="1"/>
        <v>9.3749999999999997E-3</v>
      </c>
      <c r="I24" s="233" t="s">
        <v>257</v>
      </c>
      <c r="J24" s="233" t="str" cm="1">
        <f t="array" ref="J24">_xlfn.TEXTJOIN(" "&amp;CHAR(10),,TEXT(SUBSTITUTE('Non-Functional'!$Y24:$AI24,".",","),"0,00%"))</f>
        <v>0,009375 
0,0046875 
0,00%</v>
      </c>
      <c r="K24" s="234" t="s">
        <v>258</v>
      </c>
      <c r="L24" s="235">
        <f>H24-(H24*((MATCH('Non-Functional'!$K24,'Non-Functional'!$N24:$X24,0)-1)/(COUNTA('Non-Functional'!$N24:$X24)-COUNTBLANK('Non-Functional'!$N24:$X24)-1)))</f>
        <v>9.3749999999999997E-3</v>
      </c>
      <c r="M24" s="236"/>
      <c r="N24" s="43" t="str" cm="1">
        <f t="array" ref="N24">IFERROR(INDEX(_xlfn.UNIQUE(TRIM(_xlfn.TEXTSPLIT('Non-Functional'!$I24,","))),,N$11),"")</f>
        <v>1. Functionality is delivered out of the box / std functionality</v>
      </c>
      <c r="O24" s="43" t="str" cm="1">
        <f t="array" ref="O24">IFERROR(INDEX(_xlfn.UNIQUE(TRIM(_xlfn.TEXTSPLIT('Non-Functional'!$I24,","))),,O$11),"")</f>
        <v xml:space="preserve">
2. Functionality is delivered via a 3rd party OR customization</v>
      </c>
      <c r="P24" s="43" t="str" cm="1">
        <f t="array" ref="P24">IFERROR(INDEX(_xlfn.UNIQUE(TRIM(_xlfn.TEXTSPLIT('Non-Functional'!$I24,","))),,P$11),"")</f>
        <v xml:space="preserve">
3. Functionality is not currently supported</v>
      </c>
      <c r="Q24" s="43" t="str" cm="1">
        <f t="array" ref="Q24">IFERROR(INDEX(_xlfn.UNIQUE(TRIM(_xlfn.TEXTSPLIT('Non-Functional'!$I24,","))),,Q$11),"")</f>
        <v/>
      </c>
      <c r="R24" s="43" t="str" cm="1">
        <f t="array" ref="R24">IFERROR(INDEX(_xlfn.UNIQUE(TRIM(_xlfn.TEXTSPLIT('Non-Functional'!$I24,","))),,R$11),"")</f>
        <v/>
      </c>
      <c r="S24" s="43" t="str" cm="1">
        <f t="array" ref="S24">IFERROR(INDEX(_xlfn.UNIQUE(TRIM(_xlfn.TEXTSPLIT('Non-Functional'!$I24,","))),,S$11),"")</f>
        <v/>
      </c>
      <c r="T24" s="43" t="str" cm="1">
        <f t="array" ref="T24">IFERROR(INDEX(_xlfn.UNIQUE(TRIM(_xlfn.TEXTSPLIT('Non-Functional'!$I24,","))),,T$11),"")</f>
        <v/>
      </c>
      <c r="U24" s="43" t="str" cm="1">
        <f t="array" ref="U24">IFERROR(INDEX(_xlfn.UNIQUE(TRIM(_xlfn.TEXTSPLIT('Non-Functional'!$I24,","))),,U$11),"")</f>
        <v/>
      </c>
      <c r="V24" s="43" t="str" cm="1">
        <f t="array" ref="V24">IFERROR(INDEX(_xlfn.UNIQUE(TRIM(_xlfn.TEXTSPLIT('Non-Functional'!$I24,","))),,V$11),"")</f>
        <v/>
      </c>
      <c r="W24" s="43" t="str" cm="1">
        <f t="array" ref="W24">IFERROR(INDEX(_xlfn.UNIQUE(TRIM(_xlfn.TEXTSPLIT('Non-Functional'!$I24,","))),,W$11),"")</f>
        <v/>
      </c>
      <c r="X24" s="43" t="str" cm="1">
        <f t="array" ref="X24">IFERROR(INDEX(_xlfn.UNIQUE(TRIM(_xlfn.TEXTSPLIT('Non-Functional'!$I24,","))),,X$11),"")</f>
        <v/>
      </c>
      <c r="Y24" s="237" cm="1">
        <f t="array" ref="Y24">IF('Non-Functional'!$N24="","",'Non-Functional'!$H24-('Non-Functional'!$H24*((_xlfn.XMATCH('Non-Functional'!$N24,'Non-Functional'!$N24:$X24,0))-1)/(COUNTA('Non-Functional'!$N24:$X24)-COUNTBLANK('Non-Functional'!$N24:$X24)-1)))</f>
        <v>9.3749999999999997E-3</v>
      </c>
      <c r="Z24" s="237" cm="1">
        <f t="array" ref="Z24">IF('Non-Functional'!$O24="","",'Non-Functional'!$H24-('Non-Functional'!$H24*((_xlfn.XMATCH('Non-Functional'!$O24,'Non-Functional'!$N24:$X24,0))-1)/(COUNTA('Non-Functional'!$N24:$X24)-COUNTBLANK('Non-Functional'!$N24:$X24)-1)))</f>
        <v>4.6874999999999998E-3</v>
      </c>
      <c r="AA24" s="237" cm="1">
        <f t="array" ref="AA24">IF('Non-Functional'!$P24="","",'Non-Functional'!$H24-('Non-Functional'!$H24*((_xlfn.XMATCH('Non-Functional'!$P24,'Non-Functional'!$N24:$X24,0))-1)/(COUNTA('Non-Functional'!$N24:$X24)-COUNTBLANK('Non-Functional'!$N24:$X24)-1)))</f>
        <v>0</v>
      </c>
      <c r="AB24" s="237" t="str" cm="1">
        <f t="array" ref="AB24">IF('Non-Functional'!$Q24="","",'Non-Functional'!$H24-('Non-Functional'!$H24*((_xlfn.XMATCH('Non-Functional'!$Q24,'Non-Functional'!$N24:$X24,0))-1)/(COUNTA('Non-Functional'!$N24:$X24)-COUNTBLANK('Non-Functional'!$N24:$X24)-1)))</f>
        <v/>
      </c>
      <c r="AC24" s="237" t="str" cm="1">
        <f t="array" ref="AC24">IF('Non-Functional'!$R24="","",'Non-Functional'!$H24-('Non-Functional'!$H24*((_xlfn.XMATCH('Non-Functional'!$R24,'Non-Functional'!$N24:$X24,0))-1)/(COUNTA('Non-Functional'!$N24:$X24)-COUNTBLANK('Non-Functional'!$N24:$X24)-1)))</f>
        <v/>
      </c>
      <c r="AD24" s="237" t="str" cm="1">
        <f t="array" ref="AD24">IF('Non-Functional'!$S24="","",'Non-Functional'!$H24-('Non-Functional'!$H24*((_xlfn.XMATCH('Non-Functional'!$S24,'Non-Functional'!$N24:$X24,0))-1)/(COUNTA('Non-Functional'!$N24:$X24)-COUNTBLANK('Non-Functional'!$N24:$X24)-1)))</f>
        <v/>
      </c>
      <c r="AE24" s="237" t="str" cm="1">
        <f t="array" ref="AE24">IF('Non-Functional'!$T24="","",'Non-Functional'!$H24-('Non-Functional'!$H24*((_xlfn.XMATCH('Non-Functional'!$T24,'Non-Functional'!$N24:$X24,0))-1)/(COUNTA('Non-Functional'!$N24:$X24)-COUNTBLANK('Non-Functional'!$N24:$X24)-1)))</f>
        <v/>
      </c>
      <c r="AF24" s="237" t="str" cm="1">
        <f t="array" ref="AF24">IF('Non-Functional'!$U24="","",'Non-Functional'!$H24-('Non-Functional'!$H24*((_xlfn.XMATCH('Non-Functional'!$U24,'Non-Functional'!$N24:$X24,0))-1)/(COUNTA('Non-Functional'!$N24:$X24)-COUNTBLANK('Non-Functional'!$N24:$X24)-1)))</f>
        <v/>
      </c>
      <c r="AG24" s="237" t="str" cm="1">
        <f t="array" ref="AG24">IF('Non-Functional'!$V24="","",'Non-Functional'!$H24-('Non-Functional'!$H24*((_xlfn.XMATCH('Non-Functional'!$V24,'Non-Functional'!$N24:$X24,0))-1)/(COUNTA('Non-Functional'!$N24:$X24)-COUNTBLANK('Non-Functional'!$N24:$X24)-1)))</f>
        <v/>
      </c>
      <c r="AH24" s="237" t="str" cm="1">
        <f t="array" ref="AH24">IF('Non-Functional'!$W24="","",'Non-Functional'!$H24-('Non-Functional'!$H24*((_xlfn.XMATCH('Non-Functional'!$W24,'Non-Functional'!$N24:$X24,0))-1)/(COUNTA('Non-Functional'!$N24:$X24)-COUNTBLANK('Non-Functional'!$N24:$X24)-1)))</f>
        <v/>
      </c>
      <c r="AI24" s="251" t="str" cm="1">
        <f t="array" ref="AI24">IF('Non-Functional'!$X24="","",'Non-Functional'!$H24-('Non-Functional'!$H24*((_xlfn.XMATCH('Non-Functional'!$X24,'Non-Functional'!$N24:$X24,0))-1)/(COUNTA('Non-Functional'!$N24:$X24)-COUNTBLANK('Non-Functional'!$N24:$X24)-1)))</f>
        <v/>
      </c>
    </row>
    <row r="25" spans="1:35" ht="132" x14ac:dyDescent="0.2">
      <c r="A25" s="240" t="s">
        <v>626</v>
      </c>
      <c r="B25" s="241" t="s">
        <v>266</v>
      </c>
      <c r="C25" s="241" t="s">
        <v>628</v>
      </c>
      <c r="D25" s="225"/>
      <c r="E25" s="219" t="s">
        <v>55</v>
      </c>
      <c r="F25" s="220" t="s">
        <v>106</v>
      </c>
      <c r="G25" s="220" cm="1">
        <f t="array" ref="G25">_xlfn.IFS(F25="","",F25="No interest",0,F25="Nice to have",1,F25="Useful",2,F25="Important",3,F25="Very important",4,F25="Critical",5,F25="Show stopper",6)</f>
        <v>5</v>
      </c>
      <c r="H25" s="221">
        <f t="shared" si="1"/>
        <v>9.3749999999999997E-3</v>
      </c>
      <c r="I25" s="222" t="s">
        <v>257</v>
      </c>
      <c r="J25" s="222" t="str" cm="1">
        <f t="array" ref="J25">_xlfn.TEXTJOIN(" "&amp;CHAR(10),,TEXT(SUBSTITUTE('Non-Functional'!$Y25:$AI25,".",","),"0,00%"))</f>
        <v>0,009375 
0,0046875 
0,00%</v>
      </c>
      <c r="K25" s="223" t="s">
        <v>258</v>
      </c>
      <c r="L25" s="224">
        <f>H25-(H25*((MATCH('Non-Functional'!$K25,'Non-Functional'!$N25:$X25,0)-1)/(COUNTA('Non-Functional'!$N25:$X25)-COUNTBLANK('Non-Functional'!$N25:$X25)-1)))</f>
        <v>9.3749999999999997E-3</v>
      </c>
      <c r="M25" s="225"/>
      <c r="N25" s="226" t="str" cm="1">
        <f t="array" ref="N25">IFERROR(INDEX(_xlfn.UNIQUE(TRIM(_xlfn.TEXTSPLIT('Non-Functional'!$I25,","))),,N$11),"")</f>
        <v>1. Functionality is delivered out of the box / std functionality</v>
      </c>
      <c r="O25" s="226" t="str" cm="1">
        <f t="array" ref="O25">IFERROR(INDEX(_xlfn.UNIQUE(TRIM(_xlfn.TEXTSPLIT('Non-Functional'!$I25,","))),,O$11),"")</f>
        <v xml:space="preserve">
2. Functionality is delivered via a 3rd party OR customization</v>
      </c>
      <c r="P25" s="226" t="str" cm="1">
        <f t="array" ref="P25">IFERROR(INDEX(_xlfn.UNIQUE(TRIM(_xlfn.TEXTSPLIT('Non-Functional'!$I25,","))),,P$11),"")</f>
        <v xml:space="preserve">
3. Functionality is not currently supported</v>
      </c>
      <c r="Q25" s="226" t="str" cm="1">
        <f t="array" ref="Q25">IFERROR(INDEX(_xlfn.UNIQUE(TRIM(_xlfn.TEXTSPLIT('Non-Functional'!$I25,","))),,Q$11),"")</f>
        <v/>
      </c>
      <c r="R25" s="226" t="str" cm="1">
        <f t="array" ref="R25">IFERROR(INDEX(_xlfn.UNIQUE(TRIM(_xlfn.TEXTSPLIT('Non-Functional'!$I25,","))),,R$11),"")</f>
        <v/>
      </c>
      <c r="S25" s="226" t="str" cm="1">
        <f t="array" ref="S25">IFERROR(INDEX(_xlfn.UNIQUE(TRIM(_xlfn.TEXTSPLIT('Non-Functional'!$I25,","))),,S$11),"")</f>
        <v/>
      </c>
      <c r="T25" s="226" t="str" cm="1">
        <f t="array" ref="T25">IFERROR(INDEX(_xlfn.UNIQUE(TRIM(_xlfn.TEXTSPLIT('Non-Functional'!$I25,","))),,T$11),"")</f>
        <v/>
      </c>
      <c r="U25" s="226" t="str" cm="1">
        <f t="array" ref="U25">IFERROR(INDEX(_xlfn.UNIQUE(TRIM(_xlfn.TEXTSPLIT('Non-Functional'!$I25,","))),,U$11),"")</f>
        <v/>
      </c>
      <c r="V25" s="226" t="str" cm="1">
        <f t="array" ref="V25">IFERROR(INDEX(_xlfn.UNIQUE(TRIM(_xlfn.TEXTSPLIT('Non-Functional'!$I25,","))),,V$11),"")</f>
        <v/>
      </c>
      <c r="W25" s="226" t="str" cm="1">
        <f t="array" ref="W25">IFERROR(INDEX(_xlfn.UNIQUE(TRIM(_xlfn.TEXTSPLIT('Non-Functional'!$I25,","))),,W$11),"")</f>
        <v/>
      </c>
      <c r="X25" s="226" t="str" cm="1">
        <f t="array" ref="X25">IFERROR(INDEX(_xlfn.UNIQUE(TRIM(_xlfn.TEXTSPLIT('Non-Functional'!$I25,","))),,X$11),"")</f>
        <v/>
      </c>
      <c r="Y25" s="227" cm="1">
        <f t="array" ref="Y25">IF('Non-Functional'!$N25="","",'Non-Functional'!$H25-('Non-Functional'!$H25*((_xlfn.XMATCH('Non-Functional'!$N25,'Non-Functional'!$N25:$X25,0))-1)/(COUNTA('Non-Functional'!$N25:$X25)-COUNTBLANK('Non-Functional'!$N25:$X25)-1)))</f>
        <v>9.3749999999999997E-3</v>
      </c>
      <c r="Z25" s="227" cm="1">
        <f t="array" ref="Z25">IF('Non-Functional'!$O25="","",'Non-Functional'!$H25-('Non-Functional'!$H25*((_xlfn.XMATCH('Non-Functional'!$O25,'Non-Functional'!$N25:$X25,0))-1)/(COUNTA('Non-Functional'!$N25:$X25)-COUNTBLANK('Non-Functional'!$N25:$X25)-1)))</f>
        <v>4.6874999999999998E-3</v>
      </c>
      <c r="AA25" s="227" cm="1">
        <f t="array" ref="AA25">IF('Non-Functional'!$P25="","",'Non-Functional'!$H25-('Non-Functional'!$H25*((_xlfn.XMATCH('Non-Functional'!$P25,'Non-Functional'!$N25:$X25,0))-1)/(COUNTA('Non-Functional'!$N25:$X25)-COUNTBLANK('Non-Functional'!$N25:$X25)-1)))</f>
        <v>0</v>
      </c>
      <c r="AB25" s="227" t="str" cm="1">
        <f t="array" ref="AB25">IF('Non-Functional'!$Q25="","",'Non-Functional'!$H25-('Non-Functional'!$H25*((_xlfn.XMATCH('Non-Functional'!$Q25,'Non-Functional'!$N25:$X25,0))-1)/(COUNTA('Non-Functional'!$N25:$X25)-COUNTBLANK('Non-Functional'!$N25:$X25)-1)))</f>
        <v/>
      </c>
      <c r="AC25" s="227" t="str" cm="1">
        <f t="array" ref="AC25">IF('Non-Functional'!$R25="","",'Non-Functional'!$H25-('Non-Functional'!$H25*((_xlfn.XMATCH('Non-Functional'!$R25,'Non-Functional'!$N25:$X25,0))-1)/(COUNTA('Non-Functional'!$N25:$X25)-COUNTBLANK('Non-Functional'!$N25:$X25)-1)))</f>
        <v/>
      </c>
      <c r="AD25" s="227" t="str" cm="1">
        <f t="array" ref="AD25">IF('Non-Functional'!$S25="","",'Non-Functional'!$H25-('Non-Functional'!$H25*((_xlfn.XMATCH('Non-Functional'!$S25,'Non-Functional'!$N25:$X25,0))-1)/(COUNTA('Non-Functional'!$N25:$X25)-COUNTBLANK('Non-Functional'!$N25:$X25)-1)))</f>
        <v/>
      </c>
      <c r="AE25" s="227" t="str" cm="1">
        <f t="array" ref="AE25">IF('Non-Functional'!$T25="","",'Non-Functional'!$H25-('Non-Functional'!$H25*((_xlfn.XMATCH('Non-Functional'!$T25,'Non-Functional'!$N25:$X25,0))-1)/(COUNTA('Non-Functional'!$N25:$X25)-COUNTBLANK('Non-Functional'!$N25:$X25)-1)))</f>
        <v/>
      </c>
      <c r="AF25" s="227" t="str" cm="1">
        <f t="array" ref="AF25">IF('Non-Functional'!$U25="","",'Non-Functional'!$H25-('Non-Functional'!$H25*((_xlfn.XMATCH('Non-Functional'!$U25,'Non-Functional'!$N25:$X25,0))-1)/(COUNTA('Non-Functional'!$N25:$X25)-COUNTBLANK('Non-Functional'!$N25:$X25)-1)))</f>
        <v/>
      </c>
      <c r="AG25" s="227" t="str" cm="1">
        <f t="array" ref="AG25">IF('Non-Functional'!$V25="","",'Non-Functional'!$H25-('Non-Functional'!$H25*((_xlfn.XMATCH('Non-Functional'!$V25,'Non-Functional'!$N25:$X25,0))-1)/(COUNTA('Non-Functional'!$N25:$X25)-COUNTBLANK('Non-Functional'!$N25:$X25)-1)))</f>
        <v/>
      </c>
      <c r="AH25" s="227" t="str" cm="1">
        <f t="array" ref="AH25">IF('Non-Functional'!$W25="","",'Non-Functional'!$H25-('Non-Functional'!$H25*((_xlfn.XMATCH('Non-Functional'!$W25,'Non-Functional'!$N25:$X25,0))-1)/(COUNTA('Non-Functional'!$N25:$X25)-COUNTBLANK('Non-Functional'!$N25:$X25)-1)))</f>
        <v/>
      </c>
      <c r="AI25" s="250" t="str" cm="1">
        <f t="array" ref="AI25">IF('Non-Functional'!$X25="","",'Non-Functional'!$H25-('Non-Functional'!$H25*((_xlfn.XMATCH('Non-Functional'!$X25,'Non-Functional'!$N25:$X25,0))-1)/(COUNTA('Non-Functional'!$N25:$X25)-COUNTBLANK('Non-Functional'!$N25:$X25)-1)))</f>
        <v/>
      </c>
    </row>
    <row r="26" spans="1:35" ht="132" x14ac:dyDescent="0.2">
      <c r="A26" s="239" t="s">
        <v>627</v>
      </c>
      <c r="B26" s="260" t="s">
        <v>268</v>
      </c>
      <c r="C26" s="260" t="s">
        <v>629</v>
      </c>
      <c r="D26" s="236"/>
      <c r="E26" s="229" t="s">
        <v>55</v>
      </c>
      <c r="F26" s="231" t="s">
        <v>106</v>
      </c>
      <c r="G26" s="231" cm="1">
        <f t="array" ref="G26">_xlfn.IFS(F26="","",F26="No interest",0,F26="Nice to have",1,F26="Useful",2,F26="Important",3,F26="Very important",4,F26="Critical",5,F26="Show stopper",6)</f>
        <v>5</v>
      </c>
      <c r="H26" s="232">
        <f>(G26/$G$11)*$F$11</f>
        <v>9.3749999999999997E-3</v>
      </c>
      <c r="I26" s="233" t="s">
        <v>257</v>
      </c>
      <c r="J26" s="233" t="str" cm="1">
        <f t="array" ref="J26">_xlfn.TEXTJOIN(" "&amp;CHAR(10),,TEXT(SUBSTITUTE('Non-Functional'!$Y26:$AI26,".",","),"0,00%"))</f>
        <v>0,009375 
0,0046875 
0,00%</v>
      </c>
      <c r="K26" s="234" t="s">
        <v>258</v>
      </c>
      <c r="L26" s="235">
        <f>H26-(H26*((MATCH('Non-Functional'!$K26,'Non-Functional'!$N26:$X26,0)-1)/(COUNTA('Non-Functional'!$N26:$X26)-COUNTBLANK('Non-Functional'!$N26:$X26)-1)))</f>
        <v>9.3749999999999997E-3</v>
      </c>
      <c r="M26" s="236"/>
      <c r="N26" s="43" t="str" cm="1">
        <f t="array" ref="N26">IFERROR(INDEX(_xlfn.UNIQUE(TRIM(_xlfn.TEXTSPLIT('Non-Functional'!$I26,","))),,N$11),"")</f>
        <v>1. Functionality is delivered out of the box / std functionality</v>
      </c>
      <c r="O26" s="43" t="str" cm="1">
        <f t="array" ref="O26">IFERROR(INDEX(_xlfn.UNIQUE(TRIM(_xlfn.TEXTSPLIT('Non-Functional'!$I26,","))),,O$11),"")</f>
        <v xml:space="preserve">
2. Functionality is delivered via a 3rd party OR customization</v>
      </c>
      <c r="P26" s="43" t="str" cm="1">
        <f t="array" ref="P26">IFERROR(INDEX(_xlfn.UNIQUE(TRIM(_xlfn.TEXTSPLIT('Non-Functional'!$I26,","))),,P$11),"")</f>
        <v xml:space="preserve">
3. Functionality is not currently supported</v>
      </c>
      <c r="Q26" s="43" t="str" cm="1">
        <f t="array" ref="Q26">IFERROR(INDEX(_xlfn.UNIQUE(TRIM(_xlfn.TEXTSPLIT('Non-Functional'!$I26,","))),,Q$11),"")</f>
        <v/>
      </c>
      <c r="R26" s="43" t="str" cm="1">
        <f t="array" ref="R26">IFERROR(INDEX(_xlfn.UNIQUE(TRIM(_xlfn.TEXTSPLIT('Non-Functional'!$I26,","))),,R$11),"")</f>
        <v/>
      </c>
      <c r="S26" s="43" t="str" cm="1">
        <f t="array" ref="S26">IFERROR(INDEX(_xlfn.UNIQUE(TRIM(_xlfn.TEXTSPLIT('Non-Functional'!$I26,","))),,S$11),"")</f>
        <v/>
      </c>
      <c r="T26" s="43" t="str" cm="1">
        <f t="array" ref="T26">IFERROR(INDEX(_xlfn.UNIQUE(TRIM(_xlfn.TEXTSPLIT('Non-Functional'!$I26,","))),,T$11),"")</f>
        <v/>
      </c>
      <c r="U26" s="43" t="str" cm="1">
        <f t="array" ref="U26">IFERROR(INDEX(_xlfn.UNIQUE(TRIM(_xlfn.TEXTSPLIT('Non-Functional'!$I26,","))),,U$11),"")</f>
        <v/>
      </c>
      <c r="V26" s="43" t="str" cm="1">
        <f t="array" ref="V26">IFERROR(INDEX(_xlfn.UNIQUE(TRIM(_xlfn.TEXTSPLIT('Non-Functional'!$I26,","))),,V$11),"")</f>
        <v/>
      </c>
      <c r="W26" s="43" t="str" cm="1">
        <f t="array" ref="W26">IFERROR(INDEX(_xlfn.UNIQUE(TRIM(_xlfn.TEXTSPLIT('Non-Functional'!$I26,","))),,W$11),"")</f>
        <v/>
      </c>
      <c r="X26" s="43" t="str" cm="1">
        <f t="array" ref="X26">IFERROR(INDEX(_xlfn.UNIQUE(TRIM(_xlfn.TEXTSPLIT('Non-Functional'!$I26,","))),,X$11),"")</f>
        <v/>
      </c>
      <c r="Y26" s="237" cm="1">
        <f t="array" ref="Y26">IF('Non-Functional'!$N26="","",'Non-Functional'!$H26-('Non-Functional'!$H26*((_xlfn.XMATCH('Non-Functional'!$N26,'Non-Functional'!$N26:$X26,0))-1)/(COUNTA('Non-Functional'!$N26:$X26)-COUNTBLANK('Non-Functional'!$N26:$X26)-1)))</f>
        <v>9.3749999999999997E-3</v>
      </c>
      <c r="Z26" s="237" cm="1">
        <f t="array" ref="Z26">IF('Non-Functional'!$O26="","",'Non-Functional'!$H26-('Non-Functional'!$H26*((_xlfn.XMATCH('Non-Functional'!$O26,'Non-Functional'!$N26:$X26,0))-1)/(COUNTA('Non-Functional'!$N26:$X26)-COUNTBLANK('Non-Functional'!$N26:$X26)-1)))</f>
        <v>4.6874999999999998E-3</v>
      </c>
      <c r="AA26" s="237" cm="1">
        <f t="array" ref="AA26">IF('Non-Functional'!$P26="","",'Non-Functional'!$H26-('Non-Functional'!$H26*((_xlfn.XMATCH('Non-Functional'!$P26,'Non-Functional'!$N26:$X26,0))-1)/(COUNTA('Non-Functional'!$N26:$X26)-COUNTBLANK('Non-Functional'!$N26:$X26)-1)))</f>
        <v>0</v>
      </c>
      <c r="AB26" s="237" t="str" cm="1">
        <f t="array" ref="AB26">IF('Non-Functional'!$Q26="","",'Non-Functional'!$H26-('Non-Functional'!$H26*((_xlfn.XMATCH('Non-Functional'!$Q26,'Non-Functional'!$N26:$X26,0))-1)/(COUNTA('Non-Functional'!$N26:$X26)-COUNTBLANK('Non-Functional'!$N26:$X26)-1)))</f>
        <v/>
      </c>
      <c r="AC26" s="237" t="str" cm="1">
        <f t="array" ref="AC26">IF('Non-Functional'!$R26="","",'Non-Functional'!$H26-('Non-Functional'!$H26*((_xlfn.XMATCH('Non-Functional'!$R26,'Non-Functional'!$N26:$X26,0))-1)/(COUNTA('Non-Functional'!$N26:$X26)-COUNTBLANK('Non-Functional'!$N26:$X26)-1)))</f>
        <v/>
      </c>
      <c r="AD26" s="237" t="str" cm="1">
        <f t="array" ref="AD26">IF('Non-Functional'!$S26="","",'Non-Functional'!$H26-('Non-Functional'!$H26*((_xlfn.XMATCH('Non-Functional'!$S26,'Non-Functional'!$N26:$X26,0))-1)/(COUNTA('Non-Functional'!$N26:$X26)-COUNTBLANK('Non-Functional'!$N26:$X26)-1)))</f>
        <v/>
      </c>
      <c r="AE26" s="237" t="str" cm="1">
        <f t="array" ref="AE26">IF('Non-Functional'!$T26="","",'Non-Functional'!$H26-('Non-Functional'!$H26*((_xlfn.XMATCH('Non-Functional'!$T26,'Non-Functional'!$N26:$X26,0))-1)/(COUNTA('Non-Functional'!$N26:$X26)-COUNTBLANK('Non-Functional'!$N26:$X26)-1)))</f>
        <v/>
      </c>
      <c r="AF26" s="237" t="str" cm="1">
        <f t="array" ref="AF26">IF('Non-Functional'!$U26="","",'Non-Functional'!$H26-('Non-Functional'!$H26*((_xlfn.XMATCH('Non-Functional'!$U26,'Non-Functional'!$N26:$X26,0))-1)/(COUNTA('Non-Functional'!$N26:$X26)-COUNTBLANK('Non-Functional'!$N26:$X26)-1)))</f>
        <v/>
      </c>
      <c r="AG26" s="237" t="str" cm="1">
        <f t="array" ref="AG26">IF('Non-Functional'!$V26="","",'Non-Functional'!$H26-('Non-Functional'!$H26*((_xlfn.XMATCH('Non-Functional'!$V26,'Non-Functional'!$N26:$X26,0))-1)/(COUNTA('Non-Functional'!$N26:$X26)-COUNTBLANK('Non-Functional'!$N26:$X26)-1)))</f>
        <v/>
      </c>
      <c r="AH26" s="237" t="str" cm="1">
        <f t="array" ref="AH26">IF('Non-Functional'!$W26="","",'Non-Functional'!$H26-('Non-Functional'!$H26*((_xlfn.XMATCH('Non-Functional'!$W26,'Non-Functional'!$N26:$X26,0))-1)/(COUNTA('Non-Functional'!$N26:$X26)-COUNTBLANK('Non-Functional'!$N26:$X26)-1)))</f>
        <v/>
      </c>
      <c r="AI26" s="251" t="str" cm="1">
        <f t="array" ref="AI26">IF('Non-Functional'!$X26="","",'Non-Functional'!$H26-('Non-Functional'!$H26*((_xlfn.XMATCH('Non-Functional'!$X26,'Non-Functional'!$N26:$X26,0))-1)/(COUNTA('Non-Functional'!$N26:$X26)-COUNTBLANK('Non-Functional'!$N26:$X26)-1)))</f>
        <v/>
      </c>
    </row>
    <row r="27" spans="1:35" ht="132" x14ac:dyDescent="0.2">
      <c r="A27" s="263" t="s">
        <v>634</v>
      </c>
      <c r="B27" s="264" t="s">
        <v>270</v>
      </c>
      <c r="C27" s="264" t="s">
        <v>629</v>
      </c>
      <c r="D27" s="272"/>
      <c r="E27" s="266" t="s">
        <v>55</v>
      </c>
      <c r="F27" s="267" t="s">
        <v>106</v>
      </c>
      <c r="G27" s="267" cm="1">
        <f t="array" ref="G27">_xlfn.IFS(F27="","",F27="No interest",0,F27="Nice to have",1,F27="Useful",2,F27="Important",3,F27="Very important",4,F27="Critical",5,F27="Show stopper",6)</f>
        <v>5</v>
      </c>
      <c r="H27" s="268">
        <f>(G27/$G$11)*$F$11</f>
        <v>9.3749999999999997E-3</v>
      </c>
      <c r="I27" s="269" t="s">
        <v>257</v>
      </c>
      <c r="J27" s="269" t="str" cm="1">
        <f t="array" ref="J27">_xlfn.TEXTJOIN(" "&amp;CHAR(10),,TEXT(SUBSTITUTE('Non-Functional'!$Y27:$AI27,".",","),"0,00%"))</f>
        <v>0,009375 
0,0046875 
0,00%</v>
      </c>
      <c r="K27" s="270" t="s">
        <v>258</v>
      </c>
      <c r="L27" s="271">
        <f>H27-(H27*((MATCH('Non-Functional'!$K27,'Non-Functional'!$N27:$X27,0)-1)/(COUNTA('Non-Functional'!$N27:$X27)-COUNTBLANK('Non-Functional'!$N27:$X27)-1)))</f>
        <v>9.3749999999999997E-3</v>
      </c>
      <c r="M27" s="272"/>
      <c r="N27" s="262" t="str" cm="1">
        <f t="array" ref="N27">IFERROR(INDEX(_xlfn.UNIQUE(TRIM(_xlfn.TEXTSPLIT('Non-Functional'!$I27,","))),,N$11),"")</f>
        <v>1. Functionality is delivered out of the box / std functionality</v>
      </c>
      <c r="O27" s="262" t="str" cm="1">
        <f t="array" ref="O27">IFERROR(INDEX(_xlfn.UNIQUE(TRIM(_xlfn.TEXTSPLIT('Non-Functional'!$I27,","))),,O$11),"")</f>
        <v xml:space="preserve">
2. Functionality is delivered via a 3rd party OR customization</v>
      </c>
      <c r="P27" s="262" t="str" cm="1">
        <f t="array" ref="P27">IFERROR(INDEX(_xlfn.UNIQUE(TRIM(_xlfn.TEXTSPLIT('Non-Functional'!$I27,","))),,P$11),"")</f>
        <v xml:space="preserve">
3. Functionality is not currently supported</v>
      </c>
      <c r="Q27" s="262" t="str" cm="1">
        <f t="array" ref="Q27">IFERROR(INDEX(_xlfn.UNIQUE(TRIM(_xlfn.TEXTSPLIT('Non-Functional'!$I27,","))),,Q$11),"")</f>
        <v/>
      </c>
      <c r="R27" s="262" t="str" cm="1">
        <f t="array" ref="R27">IFERROR(INDEX(_xlfn.UNIQUE(TRIM(_xlfn.TEXTSPLIT('Non-Functional'!$I27,","))),,R$11),"")</f>
        <v/>
      </c>
      <c r="S27" s="262" t="str" cm="1">
        <f t="array" ref="S27">IFERROR(INDEX(_xlfn.UNIQUE(TRIM(_xlfn.TEXTSPLIT('Non-Functional'!$I27,","))),,S$11),"")</f>
        <v/>
      </c>
      <c r="T27" s="262" t="str" cm="1">
        <f t="array" ref="T27">IFERROR(INDEX(_xlfn.UNIQUE(TRIM(_xlfn.TEXTSPLIT('Non-Functional'!$I27,","))),,T$11),"")</f>
        <v/>
      </c>
      <c r="U27" s="262" t="str" cm="1">
        <f t="array" ref="U27">IFERROR(INDEX(_xlfn.UNIQUE(TRIM(_xlfn.TEXTSPLIT('Non-Functional'!$I27,","))),,U$11),"")</f>
        <v/>
      </c>
      <c r="V27" s="262" t="str" cm="1">
        <f t="array" ref="V27">IFERROR(INDEX(_xlfn.UNIQUE(TRIM(_xlfn.TEXTSPLIT('Non-Functional'!$I27,","))),,V$11),"")</f>
        <v/>
      </c>
      <c r="W27" s="262" t="str" cm="1">
        <f t="array" ref="W27">IFERROR(INDEX(_xlfn.UNIQUE(TRIM(_xlfn.TEXTSPLIT('Non-Functional'!$I27,","))),,W$11),"")</f>
        <v/>
      </c>
      <c r="X27" s="262" t="str" cm="1">
        <f t="array" ref="X27">IFERROR(INDEX(_xlfn.UNIQUE(TRIM(_xlfn.TEXTSPLIT('Non-Functional'!$I27,","))),,X$11),"")</f>
        <v/>
      </c>
      <c r="Y27" s="273" cm="1">
        <f t="array" ref="Y27">IF('Non-Functional'!$N27="","",'Non-Functional'!$H27-('Non-Functional'!$H27*((_xlfn.XMATCH('Non-Functional'!$N27,'Non-Functional'!$N27:$X27,0))-1)/(COUNTA('Non-Functional'!$N27:$X27)-COUNTBLANK('Non-Functional'!$N27:$X27)-1)))</f>
        <v>9.3749999999999997E-3</v>
      </c>
      <c r="Z27" s="273" cm="1">
        <f t="array" ref="Z27">IF('Non-Functional'!$O27="","",'Non-Functional'!$H27-('Non-Functional'!$H27*((_xlfn.XMATCH('Non-Functional'!$O27,'Non-Functional'!$N27:$X27,0))-1)/(COUNTA('Non-Functional'!$N27:$X27)-COUNTBLANK('Non-Functional'!$N27:$X27)-1)))</f>
        <v>4.6874999999999998E-3</v>
      </c>
      <c r="AA27" s="273" cm="1">
        <f t="array" ref="AA27">IF('Non-Functional'!$P27="","",'Non-Functional'!$H27-('Non-Functional'!$H27*((_xlfn.XMATCH('Non-Functional'!$P27,'Non-Functional'!$N27:$X27,0))-1)/(COUNTA('Non-Functional'!$N27:$X27)-COUNTBLANK('Non-Functional'!$N27:$X27)-1)))</f>
        <v>0</v>
      </c>
      <c r="AB27" s="237" t="str" cm="1">
        <f t="array" ref="AB27">IF('Non-Functional'!$Q27="","",'Non-Functional'!$H27-('Non-Functional'!$H27*((_xlfn.XMATCH('Non-Functional'!$Q27,'Non-Functional'!$N27:$X27,0))-1)/(COUNTA('Non-Functional'!$N27:$X27)-COUNTBLANK('Non-Functional'!$N27:$X27)-1)))</f>
        <v/>
      </c>
      <c r="AC27" s="237" t="str" cm="1">
        <f t="array" ref="AC27">IF('Non-Functional'!$R27="","",'Non-Functional'!$H27-('Non-Functional'!$H27*((_xlfn.XMATCH('Non-Functional'!$R27,'Non-Functional'!$N27:$X27,0))-1)/(COUNTA('Non-Functional'!$N27:$X27)-COUNTBLANK('Non-Functional'!$N27:$X27)-1)))</f>
        <v/>
      </c>
      <c r="AD27" s="237" t="str" cm="1">
        <f t="array" ref="AD27">IF('Non-Functional'!$S27="","",'Non-Functional'!$H27-('Non-Functional'!$H27*((_xlfn.XMATCH('Non-Functional'!$S27,'Non-Functional'!$N27:$X27,0))-1)/(COUNTA('Non-Functional'!$N27:$X27)-COUNTBLANK('Non-Functional'!$N27:$X27)-1)))</f>
        <v/>
      </c>
      <c r="AE27" s="237" t="str" cm="1">
        <f t="array" ref="AE27">IF('Non-Functional'!$T27="","",'Non-Functional'!$H27-('Non-Functional'!$H27*((_xlfn.XMATCH('Non-Functional'!$T27,'Non-Functional'!$N27:$X27,0))-1)/(COUNTA('Non-Functional'!$N27:$X27)-COUNTBLANK('Non-Functional'!$N27:$X27)-1)))</f>
        <v/>
      </c>
      <c r="AF27" s="237" t="str" cm="1">
        <f t="array" ref="AF27">IF('Non-Functional'!$U27="","",'Non-Functional'!$H27-('Non-Functional'!$H27*((_xlfn.XMATCH('Non-Functional'!$U27,'Non-Functional'!$N27:$X27,0))-1)/(COUNTA('Non-Functional'!$N27:$X27)-COUNTBLANK('Non-Functional'!$N27:$X27)-1)))</f>
        <v/>
      </c>
      <c r="AG27" s="237" t="str" cm="1">
        <f t="array" ref="AG27">IF('Non-Functional'!$V27="","",'Non-Functional'!$H27-('Non-Functional'!$H27*((_xlfn.XMATCH('Non-Functional'!$V27,'Non-Functional'!$N27:$X27,0))-1)/(COUNTA('Non-Functional'!$N27:$X27)-COUNTBLANK('Non-Functional'!$N27:$X27)-1)))</f>
        <v/>
      </c>
      <c r="AH27" s="237" t="str" cm="1">
        <f t="array" ref="AH27">IF('Non-Functional'!$W27="","",'Non-Functional'!$H27-('Non-Functional'!$H27*((_xlfn.XMATCH('Non-Functional'!$W27,'Non-Functional'!$N27:$X27,0))-1)/(COUNTA('Non-Functional'!$N27:$X27)-COUNTBLANK('Non-Functional'!$N27:$X27)-1)))</f>
        <v/>
      </c>
      <c r="AI27" s="251" t="str" cm="1">
        <f t="array" ref="AI27">IF('Non-Functional'!$X27="","",'Non-Functional'!$H27-('Non-Functional'!$H27*((_xlfn.XMATCH('Non-Functional'!$X27,'Non-Functional'!$N27:$X27,0))-1)/(COUNTA('Non-Functional'!$N27:$X27)-COUNTBLANK('Non-Functional'!$N27:$X27)-1)))</f>
        <v/>
      </c>
    </row>
    <row r="28" spans="1:35" ht="132" x14ac:dyDescent="0.2">
      <c r="A28" s="239" t="s">
        <v>635</v>
      </c>
      <c r="B28" s="260" t="s">
        <v>636</v>
      </c>
      <c r="C28" s="260" t="s">
        <v>629</v>
      </c>
      <c r="D28" s="236"/>
      <c r="E28" s="229" t="s">
        <v>55</v>
      </c>
      <c r="F28" s="231" t="s">
        <v>106</v>
      </c>
      <c r="G28" s="231" cm="1">
        <f t="array" ref="G28">_xlfn.IFS(F28="","",F28="No interest",0,F28="Nice to have",1,F28="Useful",2,F28="Important",3,F28="Very important",4,F28="Critical",5,F28="Show stopper",6)</f>
        <v>5</v>
      </c>
      <c r="H28" s="275">
        <f>(G28/$G$11)*$F$11</f>
        <v>9.3749999999999997E-3</v>
      </c>
      <c r="I28" s="233" t="s">
        <v>257</v>
      </c>
      <c r="J28" s="233" t="str" cm="1">
        <f t="array" ref="J28">_xlfn.TEXTJOIN(" "&amp;CHAR(10),,TEXT(SUBSTITUTE('Non-Functional'!$Y28:$AI28,".",","),"0,00%"))</f>
        <v>0,009375 
0,0046875 
0,00%</v>
      </c>
      <c r="K28" s="234" t="s">
        <v>258</v>
      </c>
      <c r="L28" s="235">
        <f>H28-(H28*((MATCH('Non-Functional'!$K28,'Non-Functional'!$N28:$X28,0)-1)/(COUNTA('Non-Functional'!$N28:$X28)-COUNTBLANK('Non-Functional'!$N28:$X28)-1)))</f>
        <v>9.3749999999999997E-3</v>
      </c>
      <c r="M28" s="236"/>
      <c r="N28" s="43" t="str" cm="1">
        <f t="array" ref="N28">IFERROR(INDEX(_xlfn.UNIQUE(TRIM(_xlfn.TEXTSPLIT('Non-Functional'!$I28,","))),,N$11),"")</f>
        <v>1. Functionality is delivered out of the box / std functionality</v>
      </c>
      <c r="O28" s="43" t="str" cm="1">
        <f t="array" ref="O28">IFERROR(INDEX(_xlfn.UNIQUE(TRIM(_xlfn.TEXTSPLIT('Non-Functional'!$I28,","))),,O$11),"")</f>
        <v xml:space="preserve">
2. Functionality is delivered via a 3rd party OR customization</v>
      </c>
      <c r="P28" s="43" t="str" cm="1">
        <f t="array" ref="P28">IFERROR(INDEX(_xlfn.UNIQUE(TRIM(_xlfn.TEXTSPLIT('Non-Functional'!$I28,","))),,P$11),"")</f>
        <v xml:space="preserve">
3. Functionality is not currently supported</v>
      </c>
      <c r="Q28" s="43" t="str" cm="1">
        <f t="array" ref="Q28">IFERROR(INDEX(_xlfn.UNIQUE(TRIM(_xlfn.TEXTSPLIT('Non-Functional'!$I28,","))),,Q$11),"")</f>
        <v/>
      </c>
      <c r="R28" s="43" t="str" cm="1">
        <f t="array" ref="R28">IFERROR(INDEX(_xlfn.UNIQUE(TRIM(_xlfn.TEXTSPLIT('Non-Functional'!$I28,","))),,R$11),"")</f>
        <v/>
      </c>
      <c r="S28" s="43" t="str" cm="1">
        <f t="array" ref="S28">IFERROR(INDEX(_xlfn.UNIQUE(TRIM(_xlfn.TEXTSPLIT('Non-Functional'!$I28,","))),,S$11),"")</f>
        <v/>
      </c>
      <c r="T28" s="43" t="str" cm="1">
        <f t="array" ref="T28">IFERROR(INDEX(_xlfn.UNIQUE(TRIM(_xlfn.TEXTSPLIT('Non-Functional'!$I28,","))),,T$11),"")</f>
        <v/>
      </c>
      <c r="U28" s="43" t="str" cm="1">
        <f t="array" ref="U28">IFERROR(INDEX(_xlfn.UNIQUE(TRIM(_xlfn.TEXTSPLIT('Non-Functional'!$I28,","))),,U$11),"")</f>
        <v/>
      </c>
      <c r="V28" s="43" t="str" cm="1">
        <f t="array" ref="V28">IFERROR(INDEX(_xlfn.UNIQUE(TRIM(_xlfn.TEXTSPLIT('Non-Functional'!$I28,","))),,V$11),"")</f>
        <v/>
      </c>
      <c r="W28" s="43" t="str" cm="1">
        <f t="array" ref="W28">IFERROR(INDEX(_xlfn.UNIQUE(TRIM(_xlfn.TEXTSPLIT('Non-Functional'!$I28,","))),,W$11),"")</f>
        <v/>
      </c>
      <c r="X28" s="43" t="str" cm="1">
        <f t="array" ref="X28">IFERROR(INDEX(_xlfn.UNIQUE(TRIM(_xlfn.TEXTSPLIT('Non-Functional'!$I28,","))),,X$11),"")</f>
        <v/>
      </c>
      <c r="Y28" s="237" cm="1">
        <f t="array" ref="Y28">IF('Non-Functional'!$N28="","",'Non-Functional'!$H28-('Non-Functional'!$H28*((_xlfn.XMATCH('Non-Functional'!$N28,'Non-Functional'!$N28:$X28,0))-1)/(COUNTA('Non-Functional'!$N28:$X28)-COUNTBLANK('Non-Functional'!$N28:$X28)-1)))</f>
        <v>9.3749999999999997E-3</v>
      </c>
      <c r="Z28" s="237" cm="1">
        <f t="array" ref="Z28">IF('Non-Functional'!$O28="","",'Non-Functional'!$H28-('Non-Functional'!$H28*((_xlfn.XMATCH('Non-Functional'!$O28,'Non-Functional'!$N28:$X28,0))-1)/(COUNTA('Non-Functional'!$N28:$X28)-COUNTBLANK('Non-Functional'!$N28:$X28)-1)))</f>
        <v>4.6874999999999998E-3</v>
      </c>
      <c r="AA28" s="237" cm="1">
        <f t="array" ref="AA28">IF('Non-Functional'!$P28="","",'Non-Functional'!$H28-('Non-Functional'!$H28*((_xlfn.XMATCH('Non-Functional'!$P28,'Non-Functional'!$N28:$X28,0))-1)/(COUNTA('Non-Functional'!$N28:$X28)-COUNTBLANK('Non-Functional'!$N28:$X28)-1)))</f>
        <v>0</v>
      </c>
      <c r="AB28" s="237" t="str" cm="1">
        <f t="array" ref="AB28">IF('Non-Functional'!$Q28="","",'Non-Functional'!$H28-('Non-Functional'!$H28*((_xlfn.XMATCH('Non-Functional'!$Q28,'Non-Functional'!$N28:$X28,0))-1)/(COUNTA('Non-Functional'!$N28:$X28)-COUNTBLANK('Non-Functional'!$N28:$X28)-1)))</f>
        <v/>
      </c>
      <c r="AC28" s="237" t="str" cm="1">
        <f t="array" ref="AC28">IF('Non-Functional'!$R28="","",'Non-Functional'!$H28-('Non-Functional'!$H28*((_xlfn.XMATCH('Non-Functional'!$R28,'Non-Functional'!$N28:$X28,0))-1)/(COUNTA('Non-Functional'!$N28:$X28)-COUNTBLANK('Non-Functional'!$N28:$X28)-1)))</f>
        <v/>
      </c>
      <c r="AD28" s="237" t="str" cm="1">
        <f t="array" ref="AD28">IF('Non-Functional'!$S28="","",'Non-Functional'!$H28-('Non-Functional'!$H28*((_xlfn.XMATCH('Non-Functional'!$S28,'Non-Functional'!$N28:$X28,0))-1)/(COUNTA('Non-Functional'!$N28:$X28)-COUNTBLANK('Non-Functional'!$N28:$X28)-1)))</f>
        <v/>
      </c>
      <c r="AE28" s="237" t="str" cm="1">
        <f t="array" ref="AE28">IF('Non-Functional'!$T28="","",'Non-Functional'!$H28-('Non-Functional'!$H28*((_xlfn.XMATCH('Non-Functional'!$T28,'Non-Functional'!$N28:$X28,0))-1)/(COUNTA('Non-Functional'!$N28:$X28)-COUNTBLANK('Non-Functional'!$N28:$X28)-1)))</f>
        <v/>
      </c>
      <c r="AF28" s="237" t="str" cm="1">
        <f t="array" ref="AF28">IF('Non-Functional'!$U28="","",'Non-Functional'!$H28-('Non-Functional'!$H28*((_xlfn.XMATCH('Non-Functional'!$U28,'Non-Functional'!$N28:$X28,0))-1)/(COUNTA('Non-Functional'!$N28:$X28)-COUNTBLANK('Non-Functional'!$N28:$X28)-1)))</f>
        <v/>
      </c>
      <c r="AG28" s="237" t="str" cm="1">
        <f t="array" ref="AG28">IF('Non-Functional'!$V28="","",'Non-Functional'!$H28-('Non-Functional'!$H28*((_xlfn.XMATCH('Non-Functional'!$V28,'Non-Functional'!$N28:$X28,0))-1)/(COUNTA('Non-Functional'!$N28:$X28)-COUNTBLANK('Non-Functional'!$N28:$X28)-1)))</f>
        <v/>
      </c>
      <c r="AH28" s="237" t="str" cm="1">
        <f t="array" ref="AH28">IF('Non-Functional'!$W28="","",'Non-Functional'!$H28-('Non-Functional'!$H28*((_xlfn.XMATCH('Non-Functional'!$W28,'Non-Functional'!$N28:$X28,0))-1)/(COUNTA('Non-Functional'!$N28:$X28)-COUNTBLANK('Non-Functional'!$N28:$X28)-1)))</f>
        <v/>
      </c>
      <c r="AI28" s="251" t="str" cm="1">
        <f t="array" ref="AI28">IF('Non-Functional'!$X28="","",'Non-Functional'!$H28-('Non-Functional'!$H28*((_xlfn.XMATCH('Non-Functional'!$X28,'Non-Functional'!$N28:$X28,0))-1)/(COUNTA('Non-Functional'!$N28:$X28)-COUNTBLANK('Non-Functional'!$N28:$X28)-1)))</f>
        <v/>
      </c>
    </row>
    <row r="29" spans="1:35" ht="66" customHeight="1" x14ac:dyDescent="0.2">
      <c r="A29" s="242" t="s">
        <v>273</v>
      </c>
      <c r="B29" s="261" t="s">
        <v>274</v>
      </c>
      <c r="C29" s="261" t="s">
        <v>275</v>
      </c>
      <c r="D29" s="243"/>
      <c r="E29" s="244" t="s">
        <v>55</v>
      </c>
      <c r="F29" s="245" t="s">
        <v>106</v>
      </c>
      <c r="G29" s="245" cm="1">
        <f t="array" ref="G29">_xlfn.IFS(F29="","",F29="No interest",0,F29="Nice to have",1,F29="Useful",2,F29="Important",3,F29="Very important",4,F29="Critical",5,F29="Show stopper",6)</f>
        <v>5</v>
      </c>
      <c r="H29" s="246">
        <f t="shared" ref="H29" si="3">(G29/$G$11)*$F$11</f>
        <v>9.3749999999999997E-3</v>
      </c>
      <c r="I29" s="247" t="s">
        <v>276</v>
      </c>
      <c r="J29" s="247" t="str" cm="1">
        <f t="array" ref="J29">_xlfn.TEXTJOIN(" "&amp;CHAR(10),,TEXT(SUBSTITUTE('Non-Functional'!$Y29:$AI29,".",","),"0,00%"))</f>
        <v>0,009375 
0,00%</v>
      </c>
      <c r="K29" s="248" t="s">
        <v>277</v>
      </c>
      <c r="L29" s="249">
        <f>H29-(H29*((MATCH('Non-Functional'!$K29,'Non-Functional'!$N29:$X29,0)-1)/(COUNTA('Non-Functional'!$N29:$X29)-COUNTBLANK('Non-Functional'!$N29:$X29)-1)))</f>
        <v>9.3749999999999997E-3</v>
      </c>
      <c r="M29" s="243"/>
      <c r="N29" s="256" t="str" cm="1">
        <f t="array" ref="N29">IFERROR(INDEX(_xlfn.UNIQUE(TRIM(_xlfn.TEXTSPLIT('Non-Functional'!$I29,","))),,N$11),"")</f>
        <v>1. Compliant</v>
      </c>
      <c r="O29" s="256" t="str" cm="1">
        <f t="array" ref="O29">IFERROR(INDEX(_xlfn.UNIQUE(TRIM(_xlfn.TEXTSPLIT('Non-Functional'!$I29,","))),,O$11),"")</f>
        <v xml:space="preserve">
2. Non-compliant</v>
      </c>
      <c r="P29" s="256" t="str" cm="1">
        <f t="array" ref="P29">IFERROR(INDEX(_xlfn.UNIQUE(TRIM(_xlfn.TEXTSPLIT('Non-Functional'!$I29,","))),,P$11),"")</f>
        <v/>
      </c>
      <c r="Q29" s="256" t="str" cm="1">
        <f t="array" ref="Q29">IFERROR(INDEX(_xlfn.UNIQUE(TRIM(_xlfn.TEXTSPLIT('Non-Functional'!$I29,","))),,Q$11),"")</f>
        <v/>
      </c>
      <c r="R29" s="256" t="str" cm="1">
        <f t="array" ref="R29">IFERROR(INDEX(_xlfn.UNIQUE(TRIM(_xlfn.TEXTSPLIT('Non-Functional'!$I29,","))),,R$11),"")</f>
        <v/>
      </c>
      <c r="S29" s="256" t="str" cm="1">
        <f t="array" ref="S29">IFERROR(INDEX(_xlfn.UNIQUE(TRIM(_xlfn.TEXTSPLIT('Non-Functional'!$I29,","))),,S$11),"")</f>
        <v/>
      </c>
      <c r="T29" s="256" t="str" cm="1">
        <f t="array" ref="T29">IFERROR(INDEX(_xlfn.UNIQUE(TRIM(_xlfn.TEXTSPLIT('Non-Functional'!$I29,","))),,T$11),"")</f>
        <v/>
      </c>
      <c r="U29" s="256" t="str" cm="1">
        <f t="array" ref="U29">IFERROR(INDEX(_xlfn.UNIQUE(TRIM(_xlfn.TEXTSPLIT('Non-Functional'!$I29,","))),,U$11),"")</f>
        <v/>
      </c>
      <c r="V29" s="256" t="str" cm="1">
        <f t="array" ref="V29">IFERROR(INDEX(_xlfn.UNIQUE(TRIM(_xlfn.TEXTSPLIT('Non-Functional'!$I29,","))),,V$11),"")</f>
        <v/>
      </c>
      <c r="W29" s="256" t="str" cm="1">
        <f t="array" ref="W29">IFERROR(INDEX(_xlfn.UNIQUE(TRIM(_xlfn.TEXTSPLIT('Non-Functional'!$I29,","))),,W$11),"")</f>
        <v/>
      </c>
      <c r="X29" s="256" t="str" cm="1">
        <f t="array" ref="X29">IFERROR(INDEX(_xlfn.UNIQUE(TRIM(_xlfn.TEXTSPLIT('Non-Functional'!$I29,","))),,X$11),"")</f>
        <v/>
      </c>
      <c r="Y29" s="257" cm="1">
        <f t="array" ref="Y29">IF('Non-Functional'!$N29="","",'Non-Functional'!$H29-('Non-Functional'!$H29*((_xlfn.XMATCH('Non-Functional'!$N29,'Non-Functional'!$N29:$X29,0))-1)/(COUNTA('Non-Functional'!$N29:$X29)-COUNTBLANK('Non-Functional'!$N29:$X29)-1)))</f>
        <v>9.3749999999999997E-3</v>
      </c>
      <c r="Z29" s="257" cm="1">
        <f t="array" ref="Z29">IF('Non-Functional'!$O29="","",'Non-Functional'!$H29-('Non-Functional'!$H29*((_xlfn.XMATCH('Non-Functional'!$O29,'Non-Functional'!$N29:$X29,0))-1)/(COUNTA('Non-Functional'!$N29:$X29)-COUNTBLANK('Non-Functional'!$N29:$X29)-1)))</f>
        <v>0</v>
      </c>
      <c r="AA29" s="257" t="str" cm="1">
        <f t="array" ref="AA29">IF('Non-Functional'!$P29="","",'Non-Functional'!$H29-('Non-Functional'!$H29*((_xlfn.XMATCH('Non-Functional'!$P29,'Non-Functional'!$N29:$X29,0))-1)/(COUNTA('Non-Functional'!$N29:$X29)-COUNTBLANK('Non-Functional'!$N29:$X29)-1)))</f>
        <v/>
      </c>
      <c r="AB29" s="257" t="str" cm="1">
        <f t="array" ref="AB29">IF('Non-Functional'!$Q29="","",'Non-Functional'!$H29-('Non-Functional'!$H29*((_xlfn.XMATCH('Non-Functional'!$Q29,'Non-Functional'!$N29:$X29,0))-1)/(COUNTA('Non-Functional'!$N29:$X29)-COUNTBLANK('Non-Functional'!$N29:$X29)-1)))</f>
        <v/>
      </c>
      <c r="AC29" s="257" t="str" cm="1">
        <f t="array" ref="AC29">IF('Non-Functional'!$R29="","",'Non-Functional'!$H29-('Non-Functional'!$H29*((_xlfn.XMATCH('Non-Functional'!$R29,'Non-Functional'!$N29:$X29,0))-1)/(COUNTA('Non-Functional'!$N29:$X29)-COUNTBLANK('Non-Functional'!$N29:$X29)-1)))</f>
        <v/>
      </c>
      <c r="AD29" s="257" t="str" cm="1">
        <f t="array" ref="AD29">IF('Non-Functional'!$S29="","",'Non-Functional'!$H29-('Non-Functional'!$H29*((_xlfn.XMATCH('Non-Functional'!$S29,'Non-Functional'!$N29:$X29,0))-1)/(COUNTA('Non-Functional'!$N29:$X29)-COUNTBLANK('Non-Functional'!$N29:$X29)-1)))</f>
        <v/>
      </c>
      <c r="AE29" s="257" t="str" cm="1">
        <f t="array" ref="AE29">IF('Non-Functional'!$T29="","",'Non-Functional'!$H29-('Non-Functional'!$H29*((_xlfn.XMATCH('Non-Functional'!$T29,'Non-Functional'!$N29:$X29,0))-1)/(COUNTA('Non-Functional'!$N29:$X29)-COUNTBLANK('Non-Functional'!$N29:$X29)-1)))</f>
        <v/>
      </c>
      <c r="AF29" s="257" t="str" cm="1">
        <f t="array" ref="AF29">IF('Non-Functional'!$U29="","",'Non-Functional'!$H29-('Non-Functional'!$H29*((_xlfn.XMATCH('Non-Functional'!$U29,'Non-Functional'!$N29:$X29,0))-1)/(COUNTA('Non-Functional'!$N29:$X29)-COUNTBLANK('Non-Functional'!$N29:$X29)-1)))</f>
        <v/>
      </c>
      <c r="AG29" s="257" t="str" cm="1">
        <f t="array" ref="AG29">IF('Non-Functional'!$V29="","",'Non-Functional'!$H29-('Non-Functional'!$H29*((_xlfn.XMATCH('Non-Functional'!$V29,'Non-Functional'!$N29:$X29,0))-1)/(COUNTA('Non-Functional'!$N29:$X29)-COUNTBLANK('Non-Functional'!$N29:$X29)-1)))</f>
        <v/>
      </c>
      <c r="AH29" s="257" t="str" cm="1">
        <f t="array" ref="AH29">IF('Non-Functional'!$W29="","",'Non-Functional'!$H29-('Non-Functional'!$H29*((_xlfn.XMATCH('Non-Functional'!$W29,'Non-Functional'!$N29:$X29,0))-1)/(COUNTA('Non-Functional'!$N29:$X29)-COUNTBLANK('Non-Functional'!$N29:$X29)-1)))</f>
        <v/>
      </c>
      <c r="AI29" s="258" t="str" cm="1">
        <f t="array" ref="AI29">IF('Non-Functional'!$X29="","",'Non-Functional'!$H29-('Non-Functional'!$H29*((_xlfn.XMATCH('Non-Functional'!$X29,'Non-Functional'!$N29:$X29,0))-1)/(COUNTA('Non-Functional'!$N29:$X29)-COUNTBLANK('Non-Functional'!$N29:$X29)-1)))</f>
        <v/>
      </c>
    </row>
    <row r="30" spans="1:35" x14ac:dyDescent="0.2">
      <c r="H30" s="277"/>
      <c r="L30" s="276"/>
    </row>
  </sheetData>
  <sheetProtection insertRows="0" insertHyperlinks="0" deleteRows="0" autoFilter="0"/>
  <mergeCells count="4">
    <mergeCell ref="A10:A11"/>
    <mergeCell ref="B10:C11"/>
    <mergeCell ref="D10:E11"/>
    <mergeCell ref="E2:F3"/>
  </mergeCells>
  <conditionalFormatting sqref="K13:K29">
    <cfRule type="expression" dxfId="5" priority="1">
      <formula>COUNTIF(N13:X13,K13)&lt;&gt;1</formula>
    </cfRule>
  </conditionalFormatting>
  <dataValidations count="4">
    <dataValidation type="list" allowBlank="1" showInputMessage="1" showErrorMessage="1" sqref="M14" xr:uid="{789DCAF9-F524-4F4E-9E30-9DA3A46D8A4B}">
      <formula1>_xlfn.UNIQUE(TRIM(_xlfn.TEXTSPLIT(#REF!,",")))</formula1>
    </dataValidation>
    <dataValidation type="list" allowBlank="1" showInputMessage="1" showErrorMessage="1" sqref="F13:F29" xr:uid="{21CC083E-34C5-4534-A1EE-1E925571396A}">
      <formula1>"No interest,Nice to have,Useful,Important,Very important,Critical,Show stopper"</formula1>
    </dataValidation>
    <dataValidation type="list" allowBlank="1" showInputMessage="1" showErrorMessage="1" sqref="K13:K29" xr:uid="{BBE5822D-5345-45C9-A72E-4C42FF91B008}">
      <formula1>$N13:$X13</formula1>
    </dataValidation>
    <dataValidation type="list" allowBlank="1" showInputMessage="1" showErrorMessage="1" sqref="H13:H29" xr:uid="{09490514-F660-4040-892B-668D8BE19FD5}">
      <formula1>N13:R13</formula1>
    </dataValidation>
  </dataValidations>
  <pageMargins left="0.7" right="0.7" top="0.75" bottom="0.75" header="0.3" footer="0.3"/>
  <pageSetup paperSize="9" scale="31"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3F00-BEEF-4262-89CB-43D45A2E2783}">
  <sheetPr>
    <tabColor theme="4" tint="0.39997558519241921"/>
    <pageSetUpPr fitToPage="1"/>
  </sheetPr>
  <dimension ref="A2:AI37"/>
  <sheetViews>
    <sheetView zoomScale="110" zoomScaleNormal="110" workbookViewId="0">
      <pane xSplit="1" ySplit="11" topLeftCell="B32" activePane="bottomRight" state="frozen"/>
      <selection pane="topRight" activeCell="B1" sqref="B1"/>
      <selection pane="bottomLeft" activeCell="A4" sqref="A4"/>
      <selection pane="bottomRight" activeCell="B32" sqref="B32"/>
    </sheetView>
  </sheetViews>
  <sheetFormatPr defaultColWidth="5.5703125" defaultRowHeight="12" x14ac:dyDescent="0.2"/>
  <cols>
    <col min="1" max="1" width="5.140625" style="6" customWidth="1"/>
    <col min="2" max="2" width="38.28515625" style="6" customWidth="1"/>
    <col min="3" max="3" width="38.8554687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19.42578125" style="6" bestFit="1" customWidth="1"/>
    <col min="10" max="10" width="8" style="6" customWidth="1"/>
    <col min="11" max="11" width="15.85546875" style="6" customWidth="1"/>
    <col min="12" max="12" width="7.85546875" style="45" bestFit="1" customWidth="1"/>
    <col min="13" max="13" width="19.7109375" style="6" bestFit="1" customWidth="1"/>
    <col min="14" max="14" width="7.85546875" style="46" hidden="1" customWidth="1"/>
    <col min="15" max="24" width="6.42578125" style="46" hidden="1" customWidth="1"/>
    <col min="25" max="25" width="8" style="6" hidden="1" customWidth="1"/>
    <col min="26" max="26" width="5.5703125" style="6" hidden="1" customWidth="1"/>
    <col min="27" max="32" width="6.140625" style="6" hidden="1" customWidth="1"/>
    <col min="33" max="35" width="5.5703125" style="6" hidden="1" customWidth="1"/>
    <col min="36" max="16384" width="5.5703125" style="6"/>
  </cols>
  <sheetData>
    <row r="2" spans="1:35" x14ac:dyDescent="0.2">
      <c r="B2" s="196" t="s">
        <v>82</v>
      </c>
      <c r="C2" s="197" t="s">
        <v>83</v>
      </c>
      <c r="E2" s="303" t="s">
        <v>246</v>
      </c>
      <c r="F2" s="304"/>
    </row>
    <row r="3" spans="1:35" ht="15.75" customHeight="1" x14ac:dyDescent="0.25">
      <c r="B3" s="196" t="s">
        <v>84</v>
      </c>
      <c r="C3" s="91" t="s">
        <v>85</v>
      </c>
      <c r="E3" s="305"/>
      <c r="F3" s="306"/>
    </row>
    <row r="4" spans="1:35" ht="18" customHeight="1" x14ac:dyDescent="0.25">
      <c r="B4" s="196" t="s">
        <v>86</v>
      </c>
      <c r="C4" s="198" t="s">
        <v>87</v>
      </c>
      <c r="D4" s="55"/>
      <c r="E4" s="170" t="s">
        <v>76</v>
      </c>
      <c r="F4" s="176"/>
    </row>
    <row r="5" spans="1:35" ht="15.75" x14ac:dyDescent="0.25">
      <c r="B5" s="196" t="s">
        <v>88</v>
      </c>
      <c r="C5" s="198" t="s">
        <v>87</v>
      </c>
      <c r="D5" s="55"/>
      <c r="E5" s="172"/>
      <c r="F5" s="175"/>
    </row>
    <row r="6" spans="1:35" ht="15.75" x14ac:dyDescent="0.25">
      <c r="B6" s="196" t="s">
        <v>90</v>
      </c>
      <c r="C6" s="198" t="s">
        <v>87</v>
      </c>
      <c r="D6" s="55"/>
      <c r="E6" s="55"/>
    </row>
    <row r="7" spans="1:35" ht="42.75" customHeight="1" x14ac:dyDescent="0.25">
      <c r="B7" s="196" t="s">
        <v>91</v>
      </c>
      <c r="C7" s="198"/>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Summary'!C20</f>
        <v>0.2</v>
      </c>
      <c r="G11" s="48">
        <f>SUM(Table26789[Priority])</f>
        <v>124</v>
      </c>
      <c r="H11" s="8">
        <f>SUM(Table26789[Weight])</f>
        <v>0.19999999999999987</v>
      </c>
      <c r="I11" s="7"/>
      <c r="J11" s="7"/>
      <c r="K11" s="9" t="s">
        <v>17</v>
      </c>
      <c r="L11" s="8">
        <f>SUM(Table26789[Score])</f>
        <v>0.19999999999999987</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11" t="s">
        <v>18</v>
      </c>
      <c r="B12" s="12" t="s">
        <v>19</v>
      </c>
      <c r="C12" s="13" t="s">
        <v>20</v>
      </c>
      <c r="D12" s="14" t="s">
        <v>21</v>
      </c>
      <c r="E12" s="14" t="s">
        <v>22</v>
      </c>
      <c r="F12" s="15" t="s">
        <v>23</v>
      </c>
      <c r="G12" s="16" t="s">
        <v>24</v>
      </c>
      <c r="H12" s="16" t="s">
        <v>25</v>
      </c>
      <c r="I12" s="15" t="s">
        <v>114</v>
      </c>
      <c r="J12" s="16" t="s">
        <v>27</v>
      </c>
      <c r="K12" s="15" t="s">
        <v>28</v>
      </c>
      <c r="L12" s="17" t="s">
        <v>29</v>
      </c>
      <c r="M12" s="15" t="s">
        <v>30</v>
      </c>
      <c r="N12" s="18" t="s">
        <v>31</v>
      </c>
      <c r="O12" s="18" t="s">
        <v>32</v>
      </c>
      <c r="P12" s="18" t="s">
        <v>33</v>
      </c>
      <c r="Q12" s="18" t="s">
        <v>34</v>
      </c>
      <c r="R12" s="18" t="s">
        <v>35</v>
      </c>
      <c r="S12" s="18" t="s">
        <v>36</v>
      </c>
      <c r="T12" s="18" t="s">
        <v>37</v>
      </c>
      <c r="U12" s="18" t="s">
        <v>38</v>
      </c>
      <c r="V12" s="18" t="s">
        <v>39</v>
      </c>
      <c r="W12" s="18" t="s">
        <v>40</v>
      </c>
      <c r="X12" s="18" t="s">
        <v>41</v>
      </c>
      <c r="Y12" s="19" t="s">
        <v>42</v>
      </c>
      <c r="Z12" s="19" t="s">
        <v>43</v>
      </c>
      <c r="AA12" s="19" t="s">
        <v>44</v>
      </c>
      <c r="AB12" s="19" t="s">
        <v>45</v>
      </c>
      <c r="AC12" s="19" t="s">
        <v>46</v>
      </c>
      <c r="AD12" s="19" t="s">
        <v>47</v>
      </c>
      <c r="AE12" s="19" t="s">
        <v>48</v>
      </c>
      <c r="AF12" s="19" t="s">
        <v>49</v>
      </c>
      <c r="AG12" s="19" t="s">
        <v>50</v>
      </c>
      <c r="AH12" s="19" t="s">
        <v>51</v>
      </c>
      <c r="AI12" s="19" t="s">
        <v>52</v>
      </c>
    </row>
    <row r="13" spans="1:35" ht="120" x14ac:dyDescent="0.2">
      <c r="A13" s="195" t="s">
        <v>278</v>
      </c>
      <c r="B13" s="199" t="s">
        <v>279</v>
      </c>
      <c r="C13" s="199" t="s">
        <v>280</v>
      </c>
      <c r="D13" s="21"/>
      <c r="E13" s="21" t="s">
        <v>55</v>
      </c>
      <c r="F13" s="22" t="s">
        <v>106</v>
      </c>
      <c r="G13" s="23" cm="1">
        <f t="array" ref="G13">_xlfn.IFS(F13="","",F13="No interest",0,F13="Nice to have",1,F13="Useful",2,F13="Important",3,F13="Very important",4,F13="Critical",5,F13="Show stopper",6)</f>
        <v>5</v>
      </c>
      <c r="H13" s="24">
        <f t="shared" ref="H13:H16" si="0">(G13/$G$11)*$F$11</f>
        <v>8.0645161290322578E-3</v>
      </c>
      <c r="I13" s="25" t="s">
        <v>281</v>
      </c>
      <c r="J13" s="25" t="str" cm="1">
        <f t="array" ref="J13">_xlfn.TEXTJOIN(" "&amp;CHAR(10),,TEXT(SUBSTITUTE(Table26789[[#This Row],[12]:[22]],".",","),"0,00%"))</f>
        <v>0,00806451612903226 
0,00%</v>
      </c>
      <c r="K13" s="26" t="s">
        <v>282</v>
      </c>
      <c r="L13" s="27">
        <f>H13-(H13*((MATCH(Table26789[[#This Row],[Evaluators Response (SELECT)]],Table26789[[#This Row],[1]:[11]],0)-1)/(COUNTA(Table26789[[#This Row],[1]:[11]])-COUNTBLANK(Table26789[[#This Row],[1]:[11]])-1)))</f>
        <v>8.0645161290322578E-3</v>
      </c>
      <c r="M13" s="28"/>
      <c r="N13" s="29" t="str" cm="1">
        <f t="array" ref="N13">IFERROR(INDEX(_xlfn.UNIQUE(TRIM(_xlfn.TEXTSPLIT(Table26789[[#This Row],[Selection Options]:[Selection Options]],";"))),,N$11),"")</f>
        <v>(100%) Fully comply with requirement - Tenderer does have a valid SOC 2 Type II and/or Bridge Letter</v>
      </c>
      <c r="O13" s="29" t="str" cm="1">
        <f t="array" ref="O13">IFERROR(INDEX(_xlfn.UNIQUE(TRIM(_xlfn.TEXTSPLIT(Table26789[[#This Row],[Selection Options]:[Selection Options]],";"))),,O$11),"")</f>
        <v xml:space="preserve">
(0%) No compliance - Tenderer does not have the SOC 2 Type II Report and/or Bridge Letter</v>
      </c>
      <c r="P13" s="29" t="str" cm="1">
        <f t="array" ref="P13">IFERROR(INDEX(_xlfn.UNIQUE(TRIM(_xlfn.TEXTSPLIT(Table26789[[#This Row],[Selection Options]:[Selection Options]],";"))),,P$11),"")</f>
        <v/>
      </c>
      <c r="Q13" s="29" t="str" cm="1">
        <f t="array" ref="Q13">IFERROR(INDEX(_xlfn.UNIQUE(TRIM(_xlfn.TEXTSPLIT(Table26789[[#This Row],[Selection Options]:[Selection Options]],";"))),,Q$11),"")</f>
        <v/>
      </c>
      <c r="R13" s="29" t="str" cm="1">
        <f t="array" ref="R13">IFERROR(INDEX(_xlfn.UNIQUE(TRIM(_xlfn.TEXTSPLIT(Table26789[[#This Row],[Selection Options]:[Selection Options]],";"))),,R$11),"")</f>
        <v/>
      </c>
      <c r="S13" s="29" t="str" cm="1">
        <f t="array" ref="S13">IFERROR(INDEX(_xlfn.UNIQUE(TRIM(_xlfn.TEXTSPLIT(Table26789[[#This Row],[Selection Options]:[Selection Options]],";"))),,S$11),"")</f>
        <v/>
      </c>
      <c r="T13" s="29" t="str" cm="1">
        <f t="array" ref="T13">IFERROR(INDEX(_xlfn.UNIQUE(TRIM(_xlfn.TEXTSPLIT(Table26789[[#This Row],[Selection Options]:[Selection Options]],";"))),,T$11),"")</f>
        <v/>
      </c>
      <c r="U13" s="29" t="str" cm="1">
        <f t="array" ref="U13">IFERROR(INDEX(_xlfn.UNIQUE(TRIM(_xlfn.TEXTSPLIT(Table26789[[#This Row],[Selection Options]:[Selection Options]],";"))),,U$11),"")</f>
        <v/>
      </c>
      <c r="V13" s="29" t="str" cm="1">
        <f t="array" ref="V13">IFERROR(INDEX(_xlfn.UNIQUE(TRIM(_xlfn.TEXTSPLIT(Table26789[[#This Row],[Selection Options]:[Selection Options]],";"))),,V$11),"")</f>
        <v/>
      </c>
      <c r="W13" s="29" t="str" cm="1">
        <f t="array" ref="W13">IFERROR(INDEX(_xlfn.UNIQUE(TRIM(_xlfn.TEXTSPLIT(Table26789[[#This Row],[Selection Options]:[Selection Options]],";"))),,W$11),"")</f>
        <v/>
      </c>
      <c r="X13" s="29" t="str" cm="1">
        <f t="array" ref="X13">IFERROR(INDEX(_xlfn.UNIQUE(TRIM(_xlfn.TEXTSPLIT(Table26789[[#This Row],[Selection Options]:[Selection Options]],";"))),,X$11),"")</f>
        <v/>
      </c>
      <c r="Y13" s="30" cm="1">
        <f t="array" ref="Y13">IF(Table26789[[#This Row],[1]]="","",Table26789[[#This Row],[Weight]:[Weight]]-(Table26789[[#This Row],[Weight]:[Weight]]*((_xlfn.XMATCH(Table26789[[#This Row],[1]],Table26789[[#This Row],[1]:[11]],0))-1)/(COUNTA(Table26789[[#This Row],[1]:[11]])-COUNTBLANK(Table26789[[#This Row],[1]:[11]])-1)))</f>
        <v>8.0645161290322578E-3</v>
      </c>
      <c r="Z13" s="30" cm="1">
        <f t="array" ref="Z13">IF(Table26789[[#This Row],[2]]="","",Table26789[[#This Row],[Weight]:[Weight]]-(Table26789[[#This Row],[Weight]:[Weight]]*((_xlfn.XMATCH(Table26789[[#This Row],[2]],Table26789[[#This Row],[1]:[11]],0))-1)/(COUNTA(Table26789[[#This Row],[1]:[11]])-COUNTBLANK(Table26789[[#This Row],[1]:[11]])-1)))</f>
        <v>0</v>
      </c>
      <c r="AA13" s="30" t="str" cm="1">
        <f t="array" ref="AA13">IF(Table26789[[#This Row],[3]]="","",Table26789[[#This Row],[Weight]:[Weight]]-(Table26789[[#This Row],[Weight]:[Weight]]*((_xlfn.XMATCH(Table26789[[#This Row],[3]],Table26789[[#This Row],[1]:[11]],0))-1)/(COUNTA(Table26789[[#This Row],[1]:[11]])-COUNTBLANK(Table26789[[#This Row],[1]:[11]])-1)))</f>
        <v/>
      </c>
      <c r="AB13" s="30" t="str" cm="1">
        <f t="array" ref="AB13">IF(Table26789[[#This Row],[4]]="","",Table26789[[#This Row],[Weight]:[Weight]]-(Table26789[[#This Row],[Weight]:[Weight]]*((_xlfn.XMATCH(Table26789[[#This Row],[4]],Table26789[[#This Row],[1]:[11]],0))-1)/(COUNTA(Table26789[[#This Row],[1]:[11]])-COUNTBLANK(Table26789[[#This Row],[1]:[11]])-1)))</f>
        <v/>
      </c>
      <c r="AC13" s="30" t="str" cm="1">
        <f t="array" ref="AC13">IF(Table26789[[#This Row],[5]]="","",Table26789[[#This Row],[Weight]:[Weight]]-(Table26789[[#This Row],[Weight]:[Weight]]*((_xlfn.XMATCH(Table26789[[#This Row],[5]],Table26789[[#This Row],[1]:[11]],0))-1)/(COUNTA(Table26789[[#This Row],[1]:[11]])-COUNTBLANK(Table26789[[#This Row],[1]:[11]])-1)))</f>
        <v/>
      </c>
      <c r="AD13" s="30" t="str" cm="1">
        <f t="array" ref="AD13">IF(Table26789[[#This Row],[6]]="","",Table26789[[#This Row],[Weight]:[Weight]]-(Table26789[[#This Row],[Weight]:[Weight]]*((_xlfn.XMATCH(Table26789[[#This Row],[6]],Table26789[[#This Row],[1]:[11]],0))-1)/(COUNTA(Table26789[[#This Row],[1]:[11]])-COUNTBLANK(Table26789[[#This Row],[1]:[11]])-1)))</f>
        <v/>
      </c>
      <c r="AE13" s="30" t="str" cm="1">
        <f t="array" ref="AE13">IF(Table26789[[#This Row],[7]]="","",Table26789[[#This Row],[Weight]:[Weight]]-(Table26789[[#This Row],[Weight]:[Weight]]*((_xlfn.XMATCH(Table26789[[#This Row],[7]],Table26789[[#This Row],[1]:[11]],0))-1)/(COUNTA(Table26789[[#This Row],[1]:[11]])-COUNTBLANK(Table26789[[#This Row],[1]:[11]])-1)))</f>
        <v/>
      </c>
      <c r="AF13" s="30" t="str" cm="1">
        <f t="array" ref="AF13">IF(Table26789[[#This Row],[8]]="","",Table26789[[#This Row],[Weight]:[Weight]]-(Table26789[[#This Row],[Weight]:[Weight]]*((_xlfn.XMATCH(Table26789[[#This Row],[8]],Table26789[[#This Row],[1]:[11]],0))-1)/(COUNTA(Table26789[[#This Row],[1]:[11]])-COUNTBLANK(Table26789[[#This Row],[1]:[11]])-1)))</f>
        <v/>
      </c>
      <c r="AG13" s="30" t="str" cm="1">
        <f t="array" ref="AG13">IF(Table26789[[#This Row],[9]]="","",Table26789[[#This Row],[Weight]:[Weight]]-(Table26789[[#This Row],[Weight]:[Weight]]*((_xlfn.XMATCH(Table26789[[#This Row],[9]],Table26789[[#This Row],[1]:[11]],0))-1)/(COUNTA(Table26789[[#This Row],[1]:[11]])-COUNTBLANK(Table26789[[#This Row],[1]:[11]])-1)))</f>
        <v/>
      </c>
      <c r="AH13" s="30" t="str" cm="1">
        <f t="array" ref="AH13">IF(Table26789[[#This Row],[10]]="","",Table26789[[#This Row],[Weight]:[Weight]]-(Table26789[[#This Row],[Weight]:[Weight]]*((_xlfn.XMATCH(Table26789[[#This Row],[10]],Table26789[[#This Row],[1]:[11]],0))-1)/(COUNTA(Table26789[[#This Row],[1]:[11]])-COUNTBLANK(Table26789[[#This Row],[1]:[11]])-1)))</f>
        <v/>
      </c>
      <c r="AI13" s="30" t="str" cm="1">
        <f t="array" ref="AI13">IF(Table26789[[#This Row],[11]]="","",Table26789[[#This Row],[Weight]:[Weight]]-(Table26789[[#This Row],[Weight]:[Weight]]*((_xlfn.XMATCH(Table26789[[#This Row],[11]],Table26789[[#This Row],[1]:[11]],0))-1)/(COUNTA(Table26789[[#This Row],[1]:[11]])-COUNTBLANK(Table26789[[#This Row],[1]:[11]])-1)))</f>
        <v/>
      </c>
    </row>
    <row r="14" spans="1:35" ht="108" x14ac:dyDescent="0.2">
      <c r="A14" s="195" t="s">
        <v>283</v>
      </c>
      <c r="B14" s="199" t="s">
        <v>284</v>
      </c>
      <c r="C14" s="199" t="s">
        <v>285</v>
      </c>
      <c r="D14" s="31"/>
      <c r="E14" s="21" t="s">
        <v>55</v>
      </c>
      <c r="F14" s="22" t="s">
        <v>106</v>
      </c>
      <c r="G14" s="23" cm="1">
        <f t="array" ref="G14">_xlfn.IFS(F14="","",F14="No interest",0,F14="Nice to have",1,F14="Useful",2,F14="Important",3,F14="Very important",4,F14="Critical",5,F14="Show stopper",6)</f>
        <v>5</v>
      </c>
      <c r="H14" s="24">
        <f t="shared" si="0"/>
        <v>8.0645161290322578E-3</v>
      </c>
      <c r="I14" s="25" t="s">
        <v>286</v>
      </c>
      <c r="J14" s="25" t="str" cm="1">
        <f t="array" ref="J14">_xlfn.TEXTJOIN(" "&amp;CHAR(10),,TEXT(SUBSTITUTE(Table26789[[#This Row],[12]:[22]],".",","),"0,00%"))</f>
        <v>0,00806451612903226 
0,00%</v>
      </c>
      <c r="K14" s="26" t="s">
        <v>287</v>
      </c>
      <c r="L14" s="27">
        <f>H14-(H14*((MATCH(Table26789[[#This Row],[Evaluators Response (SELECT)]],Table26789[[#This Row],[1]:[11]],0)-1)/(COUNTA(Table26789[[#This Row],[1]:[11]])-COUNTBLANK(Table26789[[#This Row],[1]:[11]])-1)))</f>
        <v>8.0645161290322578E-3</v>
      </c>
      <c r="M14" s="28"/>
      <c r="N14" s="29" t="str" cm="1">
        <f t="array" ref="N14">IFERROR(INDEX(_xlfn.UNIQUE(TRIM(_xlfn.TEXTSPLIT(Table26789[[#This Row],[Selection Options]:[Selection Options]],";"))),,N$11),"")</f>
        <v>(100%) Fully comply with requirement - Tenderer does have a valid ISO27001 Certificate</v>
      </c>
      <c r="O14" s="29" t="str" cm="1">
        <f t="array" ref="O14">IFERROR(INDEX(_xlfn.UNIQUE(TRIM(_xlfn.TEXTSPLIT(Table26789[[#This Row],[Selection Options]:[Selection Options]],";"))),,O$11),"")</f>
        <v xml:space="preserve">
(0%) No compliance - Tenderer does not have ISO27001 Certificate.</v>
      </c>
      <c r="P14" s="29" t="str" cm="1">
        <f t="array" ref="P14">IFERROR(INDEX(_xlfn.UNIQUE(TRIM(_xlfn.TEXTSPLIT(Table26789[[#This Row],[Selection Options]:[Selection Options]],";"))),,P$11),"")</f>
        <v/>
      </c>
      <c r="Q14" s="29" t="str" cm="1">
        <f t="array" ref="Q14">IFERROR(INDEX(_xlfn.UNIQUE(TRIM(_xlfn.TEXTSPLIT(Table26789[[#This Row],[Selection Options]:[Selection Options]],";"))),,Q$11),"")</f>
        <v/>
      </c>
      <c r="R14" s="29" t="str" cm="1">
        <f t="array" ref="R14">IFERROR(INDEX(_xlfn.UNIQUE(TRIM(_xlfn.TEXTSPLIT(Table26789[[#This Row],[Selection Options]:[Selection Options]],";"))),,R$11),"")</f>
        <v/>
      </c>
      <c r="S14" s="29" t="str" cm="1">
        <f t="array" ref="S14">IFERROR(INDEX(_xlfn.UNIQUE(TRIM(_xlfn.TEXTSPLIT(Table26789[[#This Row],[Selection Options]:[Selection Options]],";"))),,S$11),"")</f>
        <v/>
      </c>
      <c r="T14" s="29" t="str" cm="1">
        <f t="array" ref="T14">IFERROR(INDEX(_xlfn.UNIQUE(TRIM(_xlfn.TEXTSPLIT(Table26789[[#This Row],[Selection Options]:[Selection Options]],";"))),,T$11),"")</f>
        <v/>
      </c>
      <c r="U14" s="29" t="str" cm="1">
        <f t="array" ref="U14">IFERROR(INDEX(_xlfn.UNIQUE(TRIM(_xlfn.TEXTSPLIT(Table26789[[#This Row],[Selection Options]:[Selection Options]],";"))),,U$11),"")</f>
        <v/>
      </c>
      <c r="V14" s="29" t="str" cm="1">
        <f t="array" ref="V14">IFERROR(INDEX(_xlfn.UNIQUE(TRIM(_xlfn.TEXTSPLIT(Table26789[[#This Row],[Selection Options]:[Selection Options]],";"))),,V$11),"")</f>
        <v/>
      </c>
      <c r="W14" s="29" t="str" cm="1">
        <f t="array" ref="W14">IFERROR(INDEX(_xlfn.UNIQUE(TRIM(_xlfn.TEXTSPLIT(Table26789[[#This Row],[Selection Options]:[Selection Options]],";"))),,W$11),"")</f>
        <v/>
      </c>
      <c r="X14" s="29" t="str" cm="1">
        <f t="array" ref="X14">IFERROR(INDEX(_xlfn.UNIQUE(TRIM(_xlfn.TEXTSPLIT(Table26789[[#This Row],[Selection Options]:[Selection Options]],";"))),,X$11),"")</f>
        <v/>
      </c>
      <c r="Y14" s="30" cm="1">
        <f t="array" ref="Y14">IF(Table26789[[#This Row],[1]]="","",Table26789[[#This Row],[Weight]:[Weight]]-(Table26789[[#This Row],[Weight]:[Weight]]*((_xlfn.XMATCH(Table26789[[#This Row],[1]],Table26789[[#This Row],[1]:[11]],0))-1)/(COUNTA(Table26789[[#This Row],[1]:[11]])-COUNTBLANK(Table26789[[#This Row],[1]:[11]])-1)))</f>
        <v>8.0645161290322578E-3</v>
      </c>
      <c r="Z14" s="30" cm="1">
        <f t="array" ref="Z14">IF(Table26789[[#This Row],[2]]="","",Table26789[[#This Row],[Weight]:[Weight]]-(Table26789[[#This Row],[Weight]:[Weight]]*((_xlfn.XMATCH(Table26789[[#This Row],[2]],Table26789[[#This Row],[1]:[11]],0))-1)/(COUNTA(Table26789[[#This Row],[1]:[11]])-COUNTBLANK(Table26789[[#This Row],[1]:[11]])-1)))</f>
        <v>0</v>
      </c>
      <c r="AA14" s="30" t="str" cm="1">
        <f t="array" ref="AA14">IF(Table26789[[#This Row],[3]]="","",Table26789[[#This Row],[Weight]:[Weight]]-(Table26789[[#This Row],[Weight]:[Weight]]*((_xlfn.XMATCH(Table26789[[#This Row],[3]],Table26789[[#This Row],[1]:[11]],0))-1)/(COUNTA(Table26789[[#This Row],[1]:[11]])-COUNTBLANK(Table26789[[#This Row],[1]:[11]])-1)))</f>
        <v/>
      </c>
      <c r="AB14" s="30" t="str" cm="1">
        <f t="array" ref="AB14">IF(Table26789[[#This Row],[4]]="","",Table26789[[#This Row],[Weight]:[Weight]]-(Table26789[[#This Row],[Weight]:[Weight]]*((_xlfn.XMATCH(Table26789[[#This Row],[4]],Table26789[[#This Row],[1]:[11]],0))-1)/(COUNTA(Table26789[[#This Row],[1]:[11]])-COUNTBLANK(Table26789[[#This Row],[1]:[11]])-1)))</f>
        <v/>
      </c>
      <c r="AC14" s="30" t="str" cm="1">
        <f t="array" ref="AC14">IF(Table26789[[#This Row],[5]]="","",Table26789[[#This Row],[Weight]:[Weight]]-(Table26789[[#This Row],[Weight]:[Weight]]*((_xlfn.XMATCH(Table26789[[#This Row],[5]],Table26789[[#This Row],[1]:[11]],0))-1)/(COUNTA(Table26789[[#This Row],[1]:[11]])-COUNTBLANK(Table26789[[#This Row],[1]:[11]])-1)))</f>
        <v/>
      </c>
      <c r="AD14" s="30" t="str" cm="1">
        <f t="array" ref="AD14">IF(Table26789[[#This Row],[6]]="","",Table26789[[#This Row],[Weight]:[Weight]]-(Table26789[[#This Row],[Weight]:[Weight]]*((_xlfn.XMATCH(Table26789[[#This Row],[6]],Table26789[[#This Row],[1]:[11]],0))-1)/(COUNTA(Table26789[[#This Row],[1]:[11]])-COUNTBLANK(Table26789[[#This Row],[1]:[11]])-1)))</f>
        <v/>
      </c>
      <c r="AE14" s="30" t="str" cm="1">
        <f t="array" ref="AE14">IF(Table26789[[#This Row],[7]]="","",Table26789[[#This Row],[Weight]:[Weight]]-(Table26789[[#This Row],[Weight]:[Weight]]*((_xlfn.XMATCH(Table26789[[#This Row],[7]],Table26789[[#This Row],[1]:[11]],0))-1)/(COUNTA(Table26789[[#This Row],[1]:[11]])-COUNTBLANK(Table26789[[#This Row],[1]:[11]])-1)))</f>
        <v/>
      </c>
      <c r="AF14" s="30" t="str" cm="1">
        <f t="array" ref="AF14">IF(Table26789[[#This Row],[8]]="","",Table26789[[#This Row],[Weight]:[Weight]]-(Table26789[[#This Row],[Weight]:[Weight]]*((_xlfn.XMATCH(Table26789[[#This Row],[8]],Table26789[[#This Row],[1]:[11]],0))-1)/(COUNTA(Table26789[[#This Row],[1]:[11]])-COUNTBLANK(Table26789[[#This Row],[1]:[11]])-1)))</f>
        <v/>
      </c>
      <c r="AG14" s="30" t="str" cm="1">
        <f t="array" ref="AG14">IF(Table26789[[#This Row],[9]]="","",Table26789[[#This Row],[Weight]:[Weight]]-(Table26789[[#This Row],[Weight]:[Weight]]*((_xlfn.XMATCH(Table26789[[#This Row],[9]],Table26789[[#This Row],[1]:[11]],0))-1)/(COUNTA(Table26789[[#This Row],[1]:[11]])-COUNTBLANK(Table26789[[#This Row],[1]:[11]])-1)))</f>
        <v/>
      </c>
      <c r="AH14" s="30" t="str" cm="1">
        <f t="array" ref="AH14">IF(Table26789[[#This Row],[10]]="","",Table26789[[#This Row],[Weight]:[Weight]]-(Table26789[[#This Row],[Weight]:[Weight]]*((_xlfn.XMATCH(Table26789[[#This Row],[10]],Table26789[[#This Row],[1]:[11]],0))-1)/(COUNTA(Table26789[[#This Row],[1]:[11]])-COUNTBLANK(Table26789[[#This Row],[1]:[11]])-1)))</f>
        <v/>
      </c>
      <c r="AI14" s="30" t="str" cm="1">
        <f t="array" ref="AI14">IF(Table26789[[#This Row],[11]]="","",Table26789[[#This Row],[Weight]:[Weight]]-(Table26789[[#This Row],[Weight]:[Weight]]*((_xlfn.XMATCH(Table26789[[#This Row],[11]],Table26789[[#This Row],[1]:[11]],0))-1)/(COUNTA(Table26789[[#This Row],[1]:[11]])-COUNTBLANK(Table26789[[#This Row],[1]:[11]])-1)))</f>
        <v/>
      </c>
    </row>
    <row r="15" spans="1:35" ht="108" x14ac:dyDescent="0.2">
      <c r="A15" s="195" t="s">
        <v>288</v>
      </c>
      <c r="B15" s="199" t="s">
        <v>289</v>
      </c>
      <c r="C15" s="199" t="s">
        <v>290</v>
      </c>
      <c r="D15" s="33"/>
      <c r="E15" s="21" t="s">
        <v>55</v>
      </c>
      <c r="F15" s="34" t="s">
        <v>106</v>
      </c>
      <c r="G15" s="35" cm="1">
        <f t="array" ref="G15">_xlfn.IFS(F15="","",F15="No interest",0,F15="Nice to have",1,F15="Useful",2,F15="Important",3,F15="Very important",4,F15="Critical",5,F15="Show stopper",6)</f>
        <v>5</v>
      </c>
      <c r="H15" s="36">
        <f t="shared" si="0"/>
        <v>8.0645161290322578E-3</v>
      </c>
      <c r="I15" s="37" t="s">
        <v>291</v>
      </c>
      <c r="J15" s="37" t="str" cm="1">
        <f t="array" ref="J15">_xlfn.TEXTJOIN(" "&amp;CHAR(10),,TEXT(SUBSTITUTE(Table26789[[#This Row],[12]:[22]],".",","),"0,00%"))</f>
        <v>0,00806451612903226 
0,00%</v>
      </c>
      <c r="K15" s="38" t="s">
        <v>292</v>
      </c>
      <c r="L15" s="39">
        <f>H15-(H15*((MATCH(Table26789[[#This Row],[Evaluators Response (SELECT)]],Table26789[[#This Row],[1]:[11]],0)-1)/(COUNTA(Table26789[[#This Row],[1]:[11]])-COUNTBLANK(Table26789[[#This Row],[1]:[11]])-1)))</f>
        <v>8.0645161290322578E-3</v>
      </c>
      <c r="M15" s="40"/>
      <c r="N15" s="29" t="str" cm="1">
        <f t="array" ref="N15">IFERROR(INDEX(_xlfn.UNIQUE(TRIM(_xlfn.TEXTSPLIT(Table26789[[#This Row],[Selection Options]:[Selection Options]],";"))),,N$11),"")</f>
        <v>(100%) Fully comply with requirement - Tenderer does have a valid ISO27017 and ISO27018 Certificates</v>
      </c>
      <c r="O15" s="29" t="str" cm="1">
        <f t="array" ref="O15">IFERROR(INDEX(_xlfn.UNIQUE(TRIM(_xlfn.TEXTSPLIT(Table26789[[#This Row],[Selection Options]:[Selection Options]],";"))),,O$11),"")</f>
        <v xml:space="preserve">
(0%) No compliance - Tenderer does not have ISO27017 and ISO27018 Certificates.</v>
      </c>
      <c r="P15" s="29" t="str" cm="1">
        <f t="array" ref="P15">IFERROR(INDEX(_xlfn.UNIQUE(TRIM(_xlfn.TEXTSPLIT(Table26789[[#This Row],[Selection Options]:[Selection Options]],";"))),,P$11),"")</f>
        <v/>
      </c>
      <c r="Q15" s="29" t="str" cm="1">
        <f t="array" ref="Q15">IFERROR(INDEX(_xlfn.UNIQUE(TRIM(_xlfn.TEXTSPLIT(Table26789[[#This Row],[Selection Options]:[Selection Options]],";"))),,Q$11),"")</f>
        <v/>
      </c>
      <c r="R15" s="29" t="str" cm="1">
        <f t="array" ref="R15">IFERROR(INDEX(_xlfn.UNIQUE(TRIM(_xlfn.TEXTSPLIT(Table26789[[#This Row],[Selection Options]:[Selection Options]],";"))),,R$11),"")</f>
        <v/>
      </c>
      <c r="S15" s="29" t="str" cm="1">
        <f t="array" ref="S15">IFERROR(INDEX(_xlfn.UNIQUE(TRIM(_xlfn.TEXTSPLIT(Table26789[[#This Row],[Selection Options]:[Selection Options]],";"))),,S$11),"")</f>
        <v/>
      </c>
      <c r="T15" s="29" t="str" cm="1">
        <f t="array" ref="T15">IFERROR(INDEX(_xlfn.UNIQUE(TRIM(_xlfn.TEXTSPLIT(Table26789[[#This Row],[Selection Options]:[Selection Options]],";"))),,T$11),"")</f>
        <v/>
      </c>
      <c r="U15" s="29" t="str" cm="1">
        <f t="array" ref="U15">IFERROR(INDEX(_xlfn.UNIQUE(TRIM(_xlfn.TEXTSPLIT(Table26789[[#This Row],[Selection Options]:[Selection Options]],";"))),,U$11),"")</f>
        <v/>
      </c>
      <c r="V15" s="29" t="str" cm="1">
        <f t="array" ref="V15">IFERROR(INDEX(_xlfn.UNIQUE(TRIM(_xlfn.TEXTSPLIT(Table26789[[#This Row],[Selection Options]:[Selection Options]],";"))),,V$11),"")</f>
        <v/>
      </c>
      <c r="W15" s="29" t="str" cm="1">
        <f t="array" ref="W15">IFERROR(INDEX(_xlfn.UNIQUE(TRIM(_xlfn.TEXTSPLIT(Table26789[[#This Row],[Selection Options]:[Selection Options]],";"))),,W$11),"")</f>
        <v/>
      </c>
      <c r="X15" s="29" t="str" cm="1">
        <f t="array" ref="X15">IFERROR(INDEX(_xlfn.UNIQUE(TRIM(_xlfn.TEXTSPLIT(Table26789[[#This Row],[Selection Options]:[Selection Options]],";"))),,X$11),"")</f>
        <v/>
      </c>
      <c r="Y15" s="30" cm="1">
        <f t="array" ref="Y15">IF(Table26789[[#This Row],[1]]="","",Table26789[[#This Row],[Weight]:[Weight]]-(Table26789[[#This Row],[Weight]:[Weight]]*((_xlfn.XMATCH(Table26789[[#This Row],[1]],Table26789[[#This Row],[1]:[11]],0))-1)/(COUNTA(Table26789[[#This Row],[1]:[11]])-COUNTBLANK(Table26789[[#This Row],[1]:[11]])-1)))</f>
        <v>8.0645161290322578E-3</v>
      </c>
      <c r="Z15" s="30" cm="1">
        <f t="array" ref="Z15">IF(Table26789[[#This Row],[2]]="","",Table26789[[#This Row],[Weight]:[Weight]]-(Table26789[[#This Row],[Weight]:[Weight]]*((_xlfn.XMATCH(Table26789[[#This Row],[2]],Table26789[[#This Row],[1]:[11]],0))-1)/(COUNTA(Table26789[[#This Row],[1]:[11]])-COUNTBLANK(Table26789[[#This Row],[1]:[11]])-1)))</f>
        <v>0</v>
      </c>
      <c r="AA15" s="30" t="str" cm="1">
        <f t="array" ref="AA15">IF(Table26789[[#This Row],[3]]="","",Table26789[[#This Row],[Weight]:[Weight]]-(Table26789[[#This Row],[Weight]:[Weight]]*((_xlfn.XMATCH(Table26789[[#This Row],[3]],Table26789[[#This Row],[1]:[11]],0))-1)/(COUNTA(Table26789[[#This Row],[1]:[11]])-COUNTBLANK(Table26789[[#This Row],[1]:[11]])-1)))</f>
        <v/>
      </c>
      <c r="AB15" s="30" t="str" cm="1">
        <f t="array" ref="AB15">IF(Table26789[[#This Row],[4]]="","",Table26789[[#This Row],[Weight]:[Weight]]-(Table26789[[#This Row],[Weight]:[Weight]]*((_xlfn.XMATCH(Table26789[[#This Row],[4]],Table26789[[#This Row],[1]:[11]],0))-1)/(COUNTA(Table26789[[#This Row],[1]:[11]])-COUNTBLANK(Table26789[[#This Row],[1]:[11]])-1)))</f>
        <v/>
      </c>
      <c r="AC15" s="30" t="str" cm="1">
        <f t="array" ref="AC15">IF(Table26789[[#This Row],[5]]="","",Table26789[[#This Row],[Weight]:[Weight]]-(Table26789[[#This Row],[Weight]:[Weight]]*((_xlfn.XMATCH(Table26789[[#This Row],[5]],Table26789[[#This Row],[1]:[11]],0))-1)/(COUNTA(Table26789[[#This Row],[1]:[11]])-COUNTBLANK(Table26789[[#This Row],[1]:[11]])-1)))</f>
        <v/>
      </c>
      <c r="AD15" s="30" t="str" cm="1">
        <f t="array" ref="AD15">IF(Table26789[[#This Row],[6]]="","",Table26789[[#This Row],[Weight]:[Weight]]-(Table26789[[#This Row],[Weight]:[Weight]]*((_xlfn.XMATCH(Table26789[[#This Row],[6]],Table26789[[#This Row],[1]:[11]],0))-1)/(COUNTA(Table26789[[#This Row],[1]:[11]])-COUNTBLANK(Table26789[[#This Row],[1]:[11]])-1)))</f>
        <v/>
      </c>
      <c r="AE15" s="30" t="str" cm="1">
        <f t="array" ref="AE15">IF(Table26789[[#This Row],[7]]="","",Table26789[[#This Row],[Weight]:[Weight]]-(Table26789[[#This Row],[Weight]:[Weight]]*((_xlfn.XMATCH(Table26789[[#This Row],[7]],Table26789[[#This Row],[1]:[11]],0))-1)/(COUNTA(Table26789[[#This Row],[1]:[11]])-COUNTBLANK(Table26789[[#This Row],[1]:[11]])-1)))</f>
        <v/>
      </c>
      <c r="AF15" s="30" t="str" cm="1">
        <f t="array" ref="AF15">IF(Table26789[[#This Row],[8]]="","",Table26789[[#This Row],[Weight]:[Weight]]-(Table26789[[#This Row],[Weight]:[Weight]]*((_xlfn.XMATCH(Table26789[[#This Row],[8]],Table26789[[#This Row],[1]:[11]],0))-1)/(COUNTA(Table26789[[#This Row],[1]:[11]])-COUNTBLANK(Table26789[[#This Row],[1]:[11]])-1)))</f>
        <v/>
      </c>
      <c r="AG15" s="30" t="str" cm="1">
        <f t="array" ref="AG15">IF(Table26789[[#This Row],[9]]="","",Table26789[[#This Row],[Weight]:[Weight]]-(Table26789[[#This Row],[Weight]:[Weight]]*((_xlfn.XMATCH(Table26789[[#This Row],[9]],Table26789[[#This Row],[1]:[11]],0))-1)/(COUNTA(Table26789[[#This Row],[1]:[11]])-COUNTBLANK(Table26789[[#This Row],[1]:[11]])-1)))</f>
        <v/>
      </c>
      <c r="AH15" s="30" t="str" cm="1">
        <f t="array" ref="AH15">IF(Table26789[[#This Row],[10]]="","",Table26789[[#This Row],[Weight]:[Weight]]-(Table26789[[#This Row],[Weight]:[Weight]]*((_xlfn.XMATCH(Table26789[[#This Row],[10]],Table26789[[#This Row],[1]:[11]],0))-1)/(COUNTA(Table26789[[#This Row],[1]:[11]])-COUNTBLANK(Table26789[[#This Row],[1]:[11]])-1)))</f>
        <v/>
      </c>
      <c r="AI15" s="30" t="str" cm="1">
        <f t="array" ref="AI15">IF(Table26789[[#This Row],[11]]="","",Table26789[[#This Row],[Weight]:[Weight]]-(Table26789[[#This Row],[Weight]:[Weight]]*((_xlfn.XMATCH(Table26789[[#This Row],[11]],Table26789[[#This Row],[1]:[11]],0))-1)/(COUNTA(Table26789[[#This Row],[1]:[11]])-COUNTBLANK(Table26789[[#This Row],[1]:[11]])-1)))</f>
        <v/>
      </c>
    </row>
    <row r="16" spans="1:35" ht="144" x14ac:dyDescent="0.2">
      <c r="A16" s="195" t="s">
        <v>293</v>
      </c>
      <c r="B16" s="199" t="s">
        <v>294</v>
      </c>
      <c r="C16" s="199" t="s">
        <v>295</v>
      </c>
      <c r="D16" s="31"/>
      <c r="E16" s="21" t="s">
        <v>55</v>
      </c>
      <c r="F16" s="22" t="s">
        <v>106</v>
      </c>
      <c r="G16" s="23" cm="1">
        <f t="array" ref="G16">_xlfn.IFS(F16="","",F16="No interest",0,F16="Nice to have",1,F16="Useful",2,F16="Important",3,F16="Very important",4,F16="Critical",5,F16="Show stopper",6)</f>
        <v>5</v>
      </c>
      <c r="H16" s="24">
        <f t="shared" si="0"/>
        <v>8.0645161290322578E-3</v>
      </c>
      <c r="I16" s="25" t="s">
        <v>296</v>
      </c>
      <c r="J16" s="25" t="str" cm="1">
        <f t="array" ref="J16">_xlfn.TEXTJOIN(" "&amp;CHAR(10),,TEXT(SUBSTITUTE(Table26789[[#This Row],[12]:[22]],".",","),"0,00%"))</f>
        <v>0,00806451612903226 
0,00%</v>
      </c>
      <c r="K16" s="26" t="s">
        <v>297</v>
      </c>
      <c r="L16" s="27">
        <f>H16-(H16*((MATCH(Table26789[[#This Row],[Evaluators Response (SELECT)]],Table26789[[#This Row],[1]:[11]],0)-1)/(COUNTA(Table26789[[#This Row],[1]:[11]])-COUNTBLANK(Table26789[[#This Row],[1]:[11]])-1)))</f>
        <v>8.0645161290322578E-3</v>
      </c>
      <c r="M16" s="28"/>
      <c r="N16" s="29" t="str" cm="1">
        <f t="array" ref="N16">IFERROR(INDEX(_xlfn.UNIQUE(TRIM(_xlfn.TEXTSPLIT(Table26789[[#This Row],[Selection Options]:[Selection Options]],";"))),,N$11),"")</f>
        <v>(100%) Fully comply with requirement - The proposed solution does integrate with Eskom's MS AD, and Entra ID to enable SSO and MFA</v>
      </c>
      <c r="O16" s="29" t="str" cm="1">
        <f t="array" ref="O16">IFERROR(INDEX(_xlfn.UNIQUE(TRIM(_xlfn.TEXTSPLIT(Table26789[[#This Row],[Selection Options]:[Selection Options]],";"))),,O$11),"")</f>
        <v xml:space="preserve">
(0%) No compliance - The proposed solution is unable to integrate with MS AD, MDI, Entra ID and MFA.</v>
      </c>
      <c r="P16" s="29" t="str" cm="1">
        <f t="array" ref="P16">IFERROR(INDEX(_xlfn.UNIQUE(TRIM(_xlfn.TEXTSPLIT(Table26789[[#This Row],[Selection Options]:[Selection Options]],";"))),,P$11),"")</f>
        <v/>
      </c>
      <c r="Q16" s="29" t="str" cm="1">
        <f t="array" ref="Q16">IFERROR(INDEX(_xlfn.UNIQUE(TRIM(_xlfn.TEXTSPLIT(Table26789[[#This Row],[Selection Options]:[Selection Options]],";"))),,Q$11),"")</f>
        <v/>
      </c>
      <c r="R16" s="29" t="str" cm="1">
        <f t="array" ref="R16">IFERROR(INDEX(_xlfn.UNIQUE(TRIM(_xlfn.TEXTSPLIT(Table26789[[#This Row],[Selection Options]:[Selection Options]],";"))),,R$11),"")</f>
        <v/>
      </c>
      <c r="S16" s="29" t="str" cm="1">
        <f t="array" ref="S16">IFERROR(INDEX(_xlfn.UNIQUE(TRIM(_xlfn.TEXTSPLIT(Table26789[[#This Row],[Selection Options]:[Selection Options]],";"))),,S$11),"")</f>
        <v/>
      </c>
      <c r="T16" s="29" t="str" cm="1">
        <f t="array" ref="T16">IFERROR(INDEX(_xlfn.UNIQUE(TRIM(_xlfn.TEXTSPLIT(Table26789[[#This Row],[Selection Options]:[Selection Options]],";"))),,T$11),"")</f>
        <v/>
      </c>
      <c r="U16" s="29" t="str" cm="1">
        <f t="array" ref="U16">IFERROR(INDEX(_xlfn.UNIQUE(TRIM(_xlfn.TEXTSPLIT(Table26789[[#This Row],[Selection Options]:[Selection Options]],";"))),,U$11),"")</f>
        <v/>
      </c>
      <c r="V16" s="29" t="str" cm="1">
        <f t="array" ref="V16">IFERROR(INDEX(_xlfn.UNIQUE(TRIM(_xlfn.TEXTSPLIT(Table26789[[#This Row],[Selection Options]:[Selection Options]],";"))),,V$11),"")</f>
        <v/>
      </c>
      <c r="W16" s="29" t="str" cm="1">
        <f t="array" ref="W16">IFERROR(INDEX(_xlfn.UNIQUE(TRIM(_xlfn.TEXTSPLIT(Table26789[[#This Row],[Selection Options]:[Selection Options]],";"))),,W$11),"")</f>
        <v/>
      </c>
      <c r="X16" s="29" t="str" cm="1">
        <f t="array" ref="X16">IFERROR(INDEX(_xlfn.UNIQUE(TRIM(_xlfn.TEXTSPLIT(Table26789[[#This Row],[Selection Options]:[Selection Options]],";"))),,X$11),"")</f>
        <v/>
      </c>
      <c r="Y16" s="30" cm="1">
        <f t="array" ref="Y16">IF(Table26789[[#This Row],[1]]="","",Table26789[[#This Row],[Weight]:[Weight]]-(Table26789[[#This Row],[Weight]:[Weight]]*((_xlfn.XMATCH(Table26789[[#This Row],[1]],Table26789[[#This Row],[1]:[11]],0))-1)/(COUNTA(Table26789[[#This Row],[1]:[11]])-COUNTBLANK(Table26789[[#This Row],[1]:[11]])-1)))</f>
        <v>8.0645161290322578E-3</v>
      </c>
      <c r="Z16" s="30" cm="1">
        <f t="array" ref="Z16">IF(Table26789[[#This Row],[2]]="","",Table26789[[#This Row],[Weight]:[Weight]]-(Table26789[[#This Row],[Weight]:[Weight]]*((_xlfn.XMATCH(Table26789[[#This Row],[2]],Table26789[[#This Row],[1]:[11]],0))-1)/(COUNTA(Table26789[[#This Row],[1]:[11]])-COUNTBLANK(Table26789[[#This Row],[1]:[11]])-1)))</f>
        <v>0</v>
      </c>
      <c r="AA16" s="30" t="str" cm="1">
        <f t="array" ref="AA16">IF(Table26789[[#This Row],[3]]="","",Table26789[[#This Row],[Weight]:[Weight]]-(Table26789[[#This Row],[Weight]:[Weight]]*((_xlfn.XMATCH(Table26789[[#This Row],[3]],Table26789[[#This Row],[1]:[11]],0))-1)/(COUNTA(Table26789[[#This Row],[1]:[11]])-COUNTBLANK(Table26789[[#This Row],[1]:[11]])-1)))</f>
        <v/>
      </c>
      <c r="AB16" s="30" t="str" cm="1">
        <f t="array" ref="AB16">IF(Table26789[[#This Row],[4]]="","",Table26789[[#This Row],[Weight]:[Weight]]-(Table26789[[#This Row],[Weight]:[Weight]]*((_xlfn.XMATCH(Table26789[[#This Row],[4]],Table26789[[#This Row],[1]:[11]],0))-1)/(COUNTA(Table26789[[#This Row],[1]:[11]])-COUNTBLANK(Table26789[[#This Row],[1]:[11]])-1)))</f>
        <v/>
      </c>
      <c r="AC16" s="30" t="str" cm="1">
        <f t="array" ref="AC16">IF(Table26789[[#This Row],[5]]="","",Table26789[[#This Row],[Weight]:[Weight]]-(Table26789[[#This Row],[Weight]:[Weight]]*((_xlfn.XMATCH(Table26789[[#This Row],[5]],Table26789[[#This Row],[1]:[11]],0))-1)/(COUNTA(Table26789[[#This Row],[1]:[11]])-COUNTBLANK(Table26789[[#This Row],[1]:[11]])-1)))</f>
        <v/>
      </c>
      <c r="AD16" s="30" t="str" cm="1">
        <f t="array" ref="AD16">IF(Table26789[[#This Row],[6]]="","",Table26789[[#This Row],[Weight]:[Weight]]-(Table26789[[#This Row],[Weight]:[Weight]]*((_xlfn.XMATCH(Table26789[[#This Row],[6]],Table26789[[#This Row],[1]:[11]],0))-1)/(COUNTA(Table26789[[#This Row],[1]:[11]])-COUNTBLANK(Table26789[[#This Row],[1]:[11]])-1)))</f>
        <v/>
      </c>
      <c r="AE16" s="30" t="str" cm="1">
        <f t="array" ref="AE16">IF(Table26789[[#This Row],[7]]="","",Table26789[[#This Row],[Weight]:[Weight]]-(Table26789[[#This Row],[Weight]:[Weight]]*((_xlfn.XMATCH(Table26789[[#This Row],[7]],Table26789[[#This Row],[1]:[11]],0))-1)/(COUNTA(Table26789[[#This Row],[1]:[11]])-COUNTBLANK(Table26789[[#This Row],[1]:[11]])-1)))</f>
        <v/>
      </c>
      <c r="AF16" s="30" t="str" cm="1">
        <f t="array" ref="AF16">IF(Table26789[[#This Row],[8]]="","",Table26789[[#This Row],[Weight]:[Weight]]-(Table26789[[#This Row],[Weight]:[Weight]]*((_xlfn.XMATCH(Table26789[[#This Row],[8]],Table26789[[#This Row],[1]:[11]],0))-1)/(COUNTA(Table26789[[#This Row],[1]:[11]])-COUNTBLANK(Table26789[[#This Row],[1]:[11]])-1)))</f>
        <v/>
      </c>
      <c r="AG16" s="30" t="str" cm="1">
        <f t="array" ref="AG16">IF(Table26789[[#This Row],[9]]="","",Table26789[[#This Row],[Weight]:[Weight]]-(Table26789[[#This Row],[Weight]:[Weight]]*((_xlfn.XMATCH(Table26789[[#This Row],[9]],Table26789[[#This Row],[1]:[11]],0))-1)/(COUNTA(Table26789[[#This Row],[1]:[11]])-COUNTBLANK(Table26789[[#This Row],[1]:[11]])-1)))</f>
        <v/>
      </c>
      <c r="AH16" s="30" t="str" cm="1">
        <f t="array" ref="AH16">IF(Table26789[[#This Row],[10]]="","",Table26789[[#This Row],[Weight]:[Weight]]-(Table26789[[#This Row],[Weight]:[Weight]]*((_xlfn.XMATCH(Table26789[[#This Row],[10]],Table26789[[#This Row],[1]:[11]],0))-1)/(COUNTA(Table26789[[#This Row],[1]:[11]])-COUNTBLANK(Table26789[[#This Row],[1]:[11]])-1)))</f>
        <v/>
      </c>
      <c r="AI16" s="30" t="str" cm="1">
        <f t="array" ref="AI16">IF(Table26789[[#This Row],[11]]="","",Table26789[[#This Row],[Weight]:[Weight]]-(Table26789[[#This Row],[Weight]:[Weight]]*((_xlfn.XMATCH(Table26789[[#This Row],[11]],Table26789[[#This Row],[1]:[11]],0))-1)/(COUNTA(Table26789[[#This Row],[1]:[11]])-COUNTBLANK(Table26789[[#This Row],[1]:[11]])-1)))</f>
        <v/>
      </c>
    </row>
    <row r="17" spans="1:35" ht="132" x14ac:dyDescent="0.2">
      <c r="A17" s="195" t="s">
        <v>298</v>
      </c>
      <c r="B17" s="199" t="s">
        <v>299</v>
      </c>
      <c r="C17" s="199" t="s">
        <v>300</v>
      </c>
      <c r="D17" s="31"/>
      <c r="E17" s="21" t="s">
        <v>55</v>
      </c>
      <c r="F17" s="22" t="s">
        <v>106</v>
      </c>
      <c r="G17" s="23" cm="1">
        <f t="array" ref="G17">_xlfn.IFS(F17="","",F17="No interest",0,F17="Nice to have",1,F17="Useful",2,F17="Important",3,F17="Very important",4,F17="Critical",5,F17="Show stopper",6)</f>
        <v>5</v>
      </c>
      <c r="H17" s="24">
        <f>(G17/$G$11)*$F$11</f>
        <v>8.0645161290322578E-3</v>
      </c>
      <c r="I17" s="25" t="s">
        <v>301</v>
      </c>
      <c r="J17" s="37" t="str" cm="1">
        <f t="array" ref="J17">_xlfn.TEXTJOIN(" "&amp;CHAR(10),,TEXT(SUBSTITUTE(Table26789[[#This Row],[12]:[22]],".",","),"0,00%"))</f>
        <v>0,00806451612903226 
0,00%</v>
      </c>
      <c r="K17" s="26" t="s">
        <v>302</v>
      </c>
      <c r="L17" s="27">
        <f>H17-(H17*((MATCH(Table26789[[#This Row],[Evaluators Response (SELECT)]],Table26789[[#This Row],[1]:[11]],0)-1)/(COUNTA(Table26789[[#This Row],[1]:[11]])-COUNTBLANK(Table26789[[#This Row],[1]:[11]])-1)))</f>
        <v>8.0645161290322578E-3</v>
      </c>
      <c r="M17" s="28"/>
      <c r="N17" s="29" t="str" cm="1">
        <f t="array" ref="N17">IFERROR(INDEX(_xlfn.UNIQUE(TRIM(_xlfn.TEXTSPLIT(Table26789[[#This Row],[Selection Options]:[Selection Options]],";"))),,N$11),"")</f>
        <v>(100%) Fully comply with requirement - The proposed solution does support and employ RBAC mechanism</v>
      </c>
      <c r="O17" s="29" t="str" cm="1">
        <f t="array" ref="O17">IFERROR(INDEX(_xlfn.UNIQUE(TRIM(_xlfn.TEXTSPLIT(Table26789[[#This Row],[Selection Options]:[Selection Options]],";"))),,O$11),"")</f>
        <v xml:space="preserve">
(0%) No compliance - The proposed solution does not support and employ RBAC mechanism</v>
      </c>
      <c r="P17" s="29" t="str" cm="1">
        <f t="array" ref="P17">IFERROR(INDEX(_xlfn.UNIQUE(TRIM(_xlfn.TEXTSPLIT(Table26789[[#This Row],[Selection Options]:[Selection Options]],";"))),,P$11),"")</f>
        <v/>
      </c>
      <c r="Q17" s="29" t="str" cm="1">
        <f t="array" ref="Q17">IFERROR(INDEX(_xlfn.UNIQUE(TRIM(_xlfn.TEXTSPLIT(Table26789[[#This Row],[Selection Options]:[Selection Options]],";"))),,Q$11),"")</f>
        <v/>
      </c>
      <c r="R17" s="29" t="str" cm="1">
        <f t="array" ref="R17">IFERROR(INDEX(_xlfn.UNIQUE(TRIM(_xlfn.TEXTSPLIT(Table26789[[#This Row],[Selection Options]:[Selection Options]],";"))),,R$11),"")</f>
        <v/>
      </c>
      <c r="S17" s="29" t="str" cm="1">
        <f t="array" ref="S17">IFERROR(INDEX(_xlfn.UNIQUE(TRIM(_xlfn.TEXTSPLIT(Table26789[[#This Row],[Selection Options]:[Selection Options]],";"))),,S$11),"")</f>
        <v/>
      </c>
      <c r="T17" s="29" t="str" cm="1">
        <f t="array" ref="T17">IFERROR(INDEX(_xlfn.UNIQUE(TRIM(_xlfn.TEXTSPLIT(Table26789[[#This Row],[Selection Options]:[Selection Options]],";"))),,T$11),"")</f>
        <v/>
      </c>
      <c r="U17" s="29" t="str" cm="1">
        <f t="array" ref="U17">IFERROR(INDEX(_xlfn.UNIQUE(TRIM(_xlfn.TEXTSPLIT(Table26789[[#This Row],[Selection Options]:[Selection Options]],";"))),,U$11),"")</f>
        <v/>
      </c>
      <c r="V17" s="29" t="str" cm="1">
        <f t="array" ref="V17">IFERROR(INDEX(_xlfn.UNIQUE(TRIM(_xlfn.TEXTSPLIT(Table26789[[#This Row],[Selection Options]:[Selection Options]],";"))),,V$11),"")</f>
        <v/>
      </c>
      <c r="W17" s="29" t="str" cm="1">
        <f t="array" ref="W17">IFERROR(INDEX(_xlfn.UNIQUE(TRIM(_xlfn.TEXTSPLIT(Table26789[[#This Row],[Selection Options]:[Selection Options]],";"))),,W$11),"")</f>
        <v/>
      </c>
      <c r="X17" s="29" t="str" cm="1">
        <f t="array" ref="X17">IFERROR(INDEX(_xlfn.UNIQUE(TRIM(_xlfn.TEXTSPLIT(Table26789[[#This Row],[Selection Options]:[Selection Options]],";"))),,X$11),"")</f>
        <v/>
      </c>
      <c r="Y17" s="30" cm="1">
        <f t="array" ref="Y17">IF(Table26789[[#This Row],[1]]="","",Table26789[[#This Row],[Weight]:[Weight]]-(Table26789[[#This Row],[Weight]:[Weight]]*((_xlfn.XMATCH(Table26789[[#This Row],[1]],Table26789[[#This Row],[1]:[11]],0))-1)/(COUNTA(Table26789[[#This Row],[1]:[11]])-COUNTBLANK(Table26789[[#This Row],[1]:[11]])-1)))</f>
        <v>8.0645161290322578E-3</v>
      </c>
      <c r="Z17" s="30" cm="1">
        <f t="array" ref="Z17">IF(Table26789[[#This Row],[2]]="","",Table26789[[#This Row],[Weight]:[Weight]]-(Table26789[[#This Row],[Weight]:[Weight]]*((_xlfn.XMATCH(Table26789[[#This Row],[2]],Table26789[[#This Row],[1]:[11]],0))-1)/(COUNTA(Table26789[[#This Row],[1]:[11]])-COUNTBLANK(Table26789[[#This Row],[1]:[11]])-1)))</f>
        <v>0</v>
      </c>
      <c r="AA17" s="30" t="str" cm="1">
        <f t="array" ref="AA17">IF(Table26789[[#This Row],[3]]="","",Table26789[[#This Row],[Weight]:[Weight]]-(Table26789[[#This Row],[Weight]:[Weight]]*((_xlfn.XMATCH(Table26789[[#This Row],[3]],Table26789[[#This Row],[1]:[11]],0))-1)/(COUNTA(Table26789[[#This Row],[1]:[11]])-COUNTBLANK(Table26789[[#This Row],[1]:[11]])-1)))</f>
        <v/>
      </c>
      <c r="AB17" s="30" t="str" cm="1">
        <f t="array" ref="AB17">IF(Table26789[[#This Row],[4]]="","",Table26789[[#This Row],[Weight]:[Weight]]-(Table26789[[#This Row],[Weight]:[Weight]]*((_xlfn.XMATCH(Table26789[[#This Row],[4]],Table26789[[#This Row],[1]:[11]],0))-1)/(COUNTA(Table26789[[#This Row],[1]:[11]])-COUNTBLANK(Table26789[[#This Row],[1]:[11]])-1)))</f>
        <v/>
      </c>
      <c r="AC17" s="30" t="str" cm="1">
        <f t="array" ref="AC17">IF(Table26789[[#This Row],[5]]="","",Table26789[[#This Row],[Weight]:[Weight]]-(Table26789[[#This Row],[Weight]:[Weight]]*((_xlfn.XMATCH(Table26789[[#This Row],[5]],Table26789[[#This Row],[1]:[11]],0))-1)/(COUNTA(Table26789[[#This Row],[1]:[11]])-COUNTBLANK(Table26789[[#This Row],[1]:[11]])-1)))</f>
        <v/>
      </c>
      <c r="AD17" s="30" t="str" cm="1">
        <f t="array" ref="AD17">IF(Table26789[[#This Row],[6]]="","",Table26789[[#This Row],[Weight]:[Weight]]-(Table26789[[#This Row],[Weight]:[Weight]]*((_xlfn.XMATCH(Table26789[[#This Row],[6]],Table26789[[#This Row],[1]:[11]],0))-1)/(COUNTA(Table26789[[#This Row],[1]:[11]])-COUNTBLANK(Table26789[[#This Row],[1]:[11]])-1)))</f>
        <v/>
      </c>
      <c r="AE17" s="30" t="str" cm="1">
        <f t="array" ref="AE17">IF(Table26789[[#This Row],[7]]="","",Table26789[[#This Row],[Weight]:[Weight]]-(Table26789[[#This Row],[Weight]:[Weight]]*((_xlfn.XMATCH(Table26789[[#This Row],[7]],Table26789[[#This Row],[1]:[11]],0))-1)/(COUNTA(Table26789[[#This Row],[1]:[11]])-COUNTBLANK(Table26789[[#This Row],[1]:[11]])-1)))</f>
        <v/>
      </c>
      <c r="AF17" s="30" t="str" cm="1">
        <f t="array" ref="AF17">IF(Table26789[[#This Row],[8]]="","",Table26789[[#This Row],[Weight]:[Weight]]-(Table26789[[#This Row],[Weight]:[Weight]]*((_xlfn.XMATCH(Table26789[[#This Row],[8]],Table26789[[#This Row],[1]:[11]],0))-1)/(COUNTA(Table26789[[#This Row],[1]:[11]])-COUNTBLANK(Table26789[[#This Row],[1]:[11]])-1)))</f>
        <v/>
      </c>
      <c r="AG17" s="30" t="str" cm="1">
        <f t="array" ref="AG17">IF(Table26789[[#This Row],[9]]="","",Table26789[[#This Row],[Weight]:[Weight]]-(Table26789[[#This Row],[Weight]:[Weight]]*((_xlfn.XMATCH(Table26789[[#This Row],[9]],Table26789[[#This Row],[1]:[11]],0))-1)/(COUNTA(Table26789[[#This Row],[1]:[11]])-COUNTBLANK(Table26789[[#This Row],[1]:[11]])-1)))</f>
        <v/>
      </c>
      <c r="AH17" s="30" t="str" cm="1">
        <f t="array" ref="AH17">IF(Table26789[[#This Row],[10]]="","",Table26789[[#This Row],[Weight]:[Weight]]-(Table26789[[#This Row],[Weight]:[Weight]]*((_xlfn.XMATCH(Table26789[[#This Row],[10]],Table26789[[#This Row],[1]:[11]],0))-1)/(COUNTA(Table26789[[#This Row],[1]:[11]])-COUNTBLANK(Table26789[[#This Row],[1]:[11]])-1)))</f>
        <v/>
      </c>
      <c r="AI17" s="30" t="str" cm="1">
        <f t="array" ref="AI17">IF(Table26789[[#This Row],[11]]="","",Table26789[[#This Row],[Weight]:[Weight]]-(Table26789[[#This Row],[Weight]:[Weight]]*((_xlfn.XMATCH(Table26789[[#This Row],[11]],Table26789[[#This Row],[1]:[11]],0))-1)/(COUNTA(Table26789[[#This Row],[1]:[11]])-COUNTBLANK(Table26789[[#This Row],[1]:[11]])-1)))</f>
        <v/>
      </c>
    </row>
    <row r="18" spans="1:35" ht="156" x14ac:dyDescent="0.2">
      <c r="A18" s="195" t="s">
        <v>303</v>
      </c>
      <c r="B18" s="199" t="s">
        <v>304</v>
      </c>
      <c r="C18" s="199" t="s">
        <v>305</v>
      </c>
      <c r="D18" s="33"/>
      <c r="E18" s="21" t="s">
        <v>55</v>
      </c>
      <c r="F18" s="34" t="s">
        <v>106</v>
      </c>
      <c r="G18" s="35" cm="1">
        <f t="array" ref="G18">_xlfn.IFS(F18="","",F18="No interest",0,F18="Nice to have",1,F18="Useful",2,F18="Important",3,F18="Very important",4,F18="Critical",5,F18="Show stopper",6)</f>
        <v>5</v>
      </c>
      <c r="H18" s="36">
        <f t="shared" ref="H18:H37" si="1">(G18/$G$11)*$F$11</f>
        <v>8.0645161290322578E-3</v>
      </c>
      <c r="I18" s="37" t="s">
        <v>306</v>
      </c>
      <c r="J18" s="37" t="str" cm="1">
        <f t="array" ref="J18">_xlfn.TEXTJOIN(" "&amp;CHAR(10),,TEXT(SUBSTITUTE(Table26789[[#This Row],[12]:[22]],".",","),"0,00%"))</f>
        <v>0,00806451612903226 
0,00%</v>
      </c>
      <c r="K18" s="38" t="s">
        <v>307</v>
      </c>
      <c r="L18" s="39">
        <f>H18-(H18*((MATCH(Table26789[[#This Row],[Evaluators Response (SELECT)]],Table26789[[#This Row],[1]:[11]],0)-1)/(COUNTA(Table26789[[#This Row],[1]:[11]])-COUNTBLANK(Table26789[[#This Row],[1]:[11]])-1)))</f>
        <v>8.0645161290322578E-3</v>
      </c>
      <c r="M18" s="40"/>
      <c r="N18" s="29" t="str" cm="1">
        <f t="array" ref="N18">IFERROR(INDEX(_xlfn.UNIQUE(TRIM(_xlfn.TEXTSPLIT(Table26789[[#This Row],[Selection Options]:[Selection Options]],";"))),,N$11),"")</f>
        <v>(100%) Fully comply with requirement - The proposed solution does encrypt data at rest (AES-256) and in transit (TLS 1.3 or later version)</v>
      </c>
      <c r="O18" s="29" t="str" cm="1">
        <f t="array" ref="O18">IFERROR(INDEX(_xlfn.UNIQUE(TRIM(_xlfn.TEXTSPLIT(Table26789[[#This Row],[Selection Options]:[Selection Options]],";"))),,O$11),"")</f>
        <v xml:space="preserve">
(0%) No compliance - The proposed solution does not encrypt data at rest (AES-256) and in transit (TLS 1.3 or later version)</v>
      </c>
      <c r="P18" s="29" t="str" cm="1">
        <f t="array" ref="P18">IFERROR(INDEX(_xlfn.UNIQUE(TRIM(_xlfn.TEXTSPLIT(Table26789[[#This Row],[Selection Options]:[Selection Options]],";"))),,P$11),"")</f>
        <v/>
      </c>
      <c r="Q18" s="29" t="str" cm="1">
        <f t="array" ref="Q18">IFERROR(INDEX(_xlfn.UNIQUE(TRIM(_xlfn.TEXTSPLIT(Table26789[[#This Row],[Selection Options]:[Selection Options]],";"))),,Q$11),"")</f>
        <v/>
      </c>
      <c r="R18" s="29" t="str" cm="1">
        <f t="array" ref="R18">IFERROR(INDEX(_xlfn.UNIQUE(TRIM(_xlfn.TEXTSPLIT(Table26789[[#This Row],[Selection Options]:[Selection Options]],";"))),,R$11),"")</f>
        <v/>
      </c>
      <c r="S18" s="29" t="str" cm="1">
        <f t="array" ref="S18">IFERROR(INDEX(_xlfn.UNIQUE(TRIM(_xlfn.TEXTSPLIT(Table26789[[#This Row],[Selection Options]:[Selection Options]],";"))),,S$11),"")</f>
        <v/>
      </c>
      <c r="T18" s="29" t="str" cm="1">
        <f t="array" ref="T18">IFERROR(INDEX(_xlfn.UNIQUE(TRIM(_xlfn.TEXTSPLIT(Table26789[[#This Row],[Selection Options]:[Selection Options]],";"))),,T$11),"")</f>
        <v/>
      </c>
      <c r="U18" s="29" t="str" cm="1">
        <f t="array" ref="U18">IFERROR(INDEX(_xlfn.UNIQUE(TRIM(_xlfn.TEXTSPLIT(Table26789[[#This Row],[Selection Options]:[Selection Options]],";"))),,U$11),"")</f>
        <v/>
      </c>
      <c r="V18" s="29" t="str" cm="1">
        <f t="array" ref="V18">IFERROR(INDEX(_xlfn.UNIQUE(TRIM(_xlfn.TEXTSPLIT(Table26789[[#This Row],[Selection Options]:[Selection Options]],";"))),,V$11),"")</f>
        <v/>
      </c>
      <c r="W18" s="29" t="str" cm="1">
        <f t="array" ref="W18">IFERROR(INDEX(_xlfn.UNIQUE(TRIM(_xlfn.TEXTSPLIT(Table26789[[#This Row],[Selection Options]:[Selection Options]],";"))),,W$11),"")</f>
        <v/>
      </c>
      <c r="X18" s="29" t="str" cm="1">
        <f t="array" ref="X18">IFERROR(INDEX(_xlfn.UNIQUE(TRIM(_xlfn.TEXTSPLIT(Table26789[[#This Row],[Selection Options]:[Selection Options]],";"))),,X$11),"")</f>
        <v/>
      </c>
      <c r="Y18" s="30" cm="1">
        <f t="array" ref="Y18">IF(Table26789[[#This Row],[1]]="","",Table26789[[#This Row],[Weight]:[Weight]]-(Table26789[[#This Row],[Weight]:[Weight]]*((_xlfn.XMATCH(Table26789[[#This Row],[1]],Table26789[[#This Row],[1]:[11]],0))-1)/(COUNTA(Table26789[[#This Row],[1]:[11]])-COUNTBLANK(Table26789[[#This Row],[1]:[11]])-1)))</f>
        <v>8.0645161290322578E-3</v>
      </c>
      <c r="Z18" s="30" cm="1">
        <f t="array" ref="Z18">IF(Table26789[[#This Row],[2]]="","",Table26789[[#This Row],[Weight]:[Weight]]-(Table26789[[#This Row],[Weight]:[Weight]]*((_xlfn.XMATCH(Table26789[[#This Row],[2]],Table26789[[#This Row],[1]:[11]],0))-1)/(COUNTA(Table26789[[#This Row],[1]:[11]])-COUNTBLANK(Table26789[[#This Row],[1]:[11]])-1)))</f>
        <v>0</v>
      </c>
      <c r="AA18" s="30" t="str" cm="1">
        <f t="array" ref="AA18">IF(Table26789[[#This Row],[3]]="","",Table26789[[#This Row],[Weight]:[Weight]]-(Table26789[[#This Row],[Weight]:[Weight]]*((_xlfn.XMATCH(Table26789[[#This Row],[3]],Table26789[[#This Row],[1]:[11]],0))-1)/(COUNTA(Table26789[[#This Row],[1]:[11]])-COUNTBLANK(Table26789[[#This Row],[1]:[11]])-1)))</f>
        <v/>
      </c>
      <c r="AB18" s="30" t="str" cm="1">
        <f t="array" ref="AB18">IF(Table26789[[#This Row],[4]]="","",Table26789[[#This Row],[Weight]:[Weight]]-(Table26789[[#This Row],[Weight]:[Weight]]*((_xlfn.XMATCH(Table26789[[#This Row],[4]],Table26789[[#This Row],[1]:[11]],0))-1)/(COUNTA(Table26789[[#This Row],[1]:[11]])-COUNTBLANK(Table26789[[#This Row],[1]:[11]])-1)))</f>
        <v/>
      </c>
      <c r="AC18" s="30" t="str" cm="1">
        <f t="array" ref="AC18">IF(Table26789[[#This Row],[5]]="","",Table26789[[#This Row],[Weight]:[Weight]]-(Table26789[[#This Row],[Weight]:[Weight]]*((_xlfn.XMATCH(Table26789[[#This Row],[5]],Table26789[[#This Row],[1]:[11]],0))-1)/(COUNTA(Table26789[[#This Row],[1]:[11]])-COUNTBLANK(Table26789[[#This Row],[1]:[11]])-1)))</f>
        <v/>
      </c>
      <c r="AD18" s="30" t="str" cm="1">
        <f t="array" ref="AD18">IF(Table26789[[#This Row],[6]]="","",Table26789[[#This Row],[Weight]:[Weight]]-(Table26789[[#This Row],[Weight]:[Weight]]*((_xlfn.XMATCH(Table26789[[#This Row],[6]],Table26789[[#This Row],[1]:[11]],0))-1)/(COUNTA(Table26789[[#This Row],[1]:[11]])-COUNTBLANK(Table26789[[#This Row],[1]:[11]])-1)))</f>
        <v/>
      </c>
      <c r="AE18" s="30" t="str" cm="1">
        <f t="array" ref="AE18">IF(Table26789[[#This Row],[7]]="","",Table26789[[#This Row],[Weight]:[Weight]]-(Table26789[[#This Row],[Weight]:[Weight]]*((_xlfn.XMATCH(Table26789[[#This Row],[7]],Table26789[[#This Row],[1]:[11]],0))-1)/(COUNTA(Table26789[[#This Row],[1]:[11]])-COUNTBLANK(Table26789[[#This Row],[1]:[11]])-1)))</f>
        <v/>
      </c>
      <c r="AF18" s="30" t="str" cm="1">
        <f t="array" ref="AF18">IF(Table26789[[#This Row],[8]]="","",Table26789[[#This Row],[Weight]:[Weight]]-(Table26789[[#This Row],[Weight]:[Weight]]*((_xlfn.XMATCH(Table26789[[#This Row],[8]],Table26789[[#This Row],[1]:[11]],0))-1)/(COUNTA(Table26789[[#This Row],[1]:[11]])-COUNTBLANK(Table26789[[#This Row],[1]:[11]])-1)))</f>
        <v/>
      </c>
      <c r="AG18" s="30" t="str" cm="1">
        <f t="array" ref="AG18">IF(Table26789[[#This Row],[9]]="","",Table26789[[#This Row],[Weight]:[Weight]]-(Table26789[[#This Row],[Weight]:[Weight]]*((_xlfn.XMATCH(Table26789[[#This Row],[9]],Table26789[[#This Row],[1]:[11]],0))-1)/(COUNTA(Table26789[[#This Row],[1]:[11]])-COUNTBLANK(Table26789[[#This Row],[1]:[11]])-1)))</f>
        <v/>
      </c>
      <c r="AH18" s="30" t="str" cm="1">
        <f t="array" ref="AH18">IF(Table26789[[#This Row],[10]]="","",Table26789[[#This Row],[Weight]:[Weight]]-(Table26789[[#This Row],[Weight]:[Weight]]*((_xlfn.XMATCH(Table26789[[#This Row],[10]],Table26789[[#This Row],[1]:[11]],0))-1)/(COUNTA(Table26789[[#This Row],[1]:[11]])-COUNTBLANK(Table26789[[#This Row],[1]:[11]])-1)))</f>
        <v/>
      </c>
      <c r="AI18" s="30" t="str" cm="1">
        <f t="array" ref="AI18">IF(Table26789[[#This Row],[11]]="","",Table26789[[#This Row],[Weight]:[Weight]]-(Table26789[[#This Row],[Weight]:[Weight]]*((_xlfn.XMATCH(Table26789[[#This Row],[11]],Table26789[[#This Row],[1]:[11]],0))-1)/(COUNTA(Table26789[[#This Row],[1]:[11]])-COUNTBLANK(Table26789[[#This Row],[1]:[11]])-1)))</f>
        <v/>
      </c>
    </row>
    <row r="19" spans="1:35" ht="156" x14ac:dyDescent="0.2">
      <c r="A19" s="195" t="s">
        <v>308</v>
      </c>
      <c r="B19" s="200" t="s">
        <v>309</v>
      </c>
      <c r="C19" s="199" t="s">
        <v>310</v>
      </c>
      <c r="D19" s="33"/>
      <c r="E19" s="21" t="s">
        <v>55</v>
      </c>
      <c r="F19" s="34" t="s">
        <v>106</v>
      </c>
      <c r="G19" s="35" cm="1">
        <f t="array" ref="G19">_xlfn.IFS(F19="","",F19="No interest",0,F19="Nice to have",1,F19="Useful",2,F19="Important",3,F19="Very important",4,F19="Critical",5,F19="Show stopper",6)</f>
        <v>5</v>
      </c>
      <c r="H19" s="36">
        <f t="shared" si="1"/>
        <v>8.0645161290322578E-3</v>
      </c>
      <c r="I19" s="37" t="s">
        <v>311</v>
      </c>
      <c r="J19" s="37" t="str" cm="1">
        <f t="array" ref="J19">_xlfn.TEXTJOIN(" "&amp;CHAR(10),,TEXT(SUBSTITUTE(Table26789[[#This Row],[12]:[22]],".",","),"0,00%"))</f>
        <v>0,00806451612903226 
0,00%</v>
      </c>
      <c r="K19" s="38" t="s">
        <v>312</v>
      </c>
      <c r="L19" s="39">
        <f>H19-(H19*((MATCH(Table26789[[#This Row],[Evaluators Response (SELECT)]],Table26789[[#This Row],[1]:[11]],0)-1)/(COUNTA(Table26789[[#This Row],[1]:[11]])-COUNTBLANK(Table26789[[#This Row],[1]:[11]])-1)))</f>
        <v>8.0645161290322578E-3</v>
      </c>
      <c r="M19" s="40"/>
      <c r="N19" s="29" t="str" cm="1">
        <f t="array" ref="N19">IFERROR(INDEX(_xlfn.UNIQUE(TRIM(_xlfn.TEXTSPLIT(Table26789[[#This Row],[Selection Options]:[Selection Options]],";"))),,N$11),"")</f>
        <v>(100%) Fully comply with requirement - The proposed solution does secure data using Hash algorithm (SHA)-256 for data intergrity</v>
      </c>
      <c r="O19" s="29" t="str" cm="1">
        <f t="array" ref="O19">IFERROR(INDEX(_xlfn.UNIQUE(TRIM(_xlfn.TEXTSPLIT(Table26789[[#This Row],[Selection Options]:[Selection Options]],";"))),,O$11),"")</f>
        <v xml:space="preserve">
(0%) No compliance - The proposed solution does not secure data using Hash algorithm (SHA)-256 for data intergrity</v>
      </c>
      <c r="P19" s="29" t="str" cm="1">
        <f t="array" ref="P19">IFERROR(INDEX(_xlfn.UNIQUE(TRIM(_xlfn.TEXTSPLIT(Table26789[[#This Row],[Selection Options]:[Selection Options]],";"))),,P$11),"")</f>
        <v/>
      </c>
      <c r="Q19" s="29" t="str" cm="1">
        <f t="array" ref="Q19">IFERROR(INDEX(_xlfn.UNIQUE(TRIM(_xlfn.TEXTSPLIT(Table26789[[#This Row],[Selection Options]:[Selection Options]],";"))),,Q$11),"")</f>
        <v/>
      </c>
      <c r="R19" s="29" t="str" cm="1">
        <f t="array" ref="R19">IFERROR(INDEX(_xlfn.UNIQUE(TRIM(_xlfn.TEXTSPLIT(Table26789[[#This Row],[Selection Options]:[Selection Options]],";"))),,R$11),"")</f>
        <v/>
      </c>
      <c r="S19" s="29" t="str" cm="1">
        <f t="array" ref="S19">IFERROR(INDEX(_xlfn.UNIQUE(TRIM(_xlfn.TEXTSPLIT(Table26789[[#This Row],[Selection Options]:[Selection Options]],";"))),,S$11),"")</f>
        <v/>
      </c>
      <c r="T19" s="29" t="str" cm="1">
        <f t="array" ref="T19">IFERROR(INDEX(_xlfn.UNIQUE(TRIM(_xlfn.TEXTSPLIT(Table26789[[#This Row],[Selection Options]:[Selection Options]],";"))),,T$11),"")</f>
        <v/>
      </c>
      <c r="U19" s="29" t="str" cm="1">
        <f t="array" ref="U19">IFERROR(INDEX(_xlfn.UNIQUE(TRIM(_xlfn.TEXTSPLIT(Table26789[[#This Row],[Selection Options]:[Selection Options]],";"))),,U$11),"")</f>
        <v/>
      </c>
      <c r="V19" s="29" t="str" cm="1">
        <f t="array" ref="V19">IFERROR(INDEX(_xlfn.UNIQUE(TRIM(_xlfn.TEXTSPLIT(Table26789[[#This Row],[Selection Options]:[Selection Options]],";"))),,V$11),"")</f>
        <v/>
      </c>
      <c r="W19" s="29" t="str" cm="1">
        <f t="array" ref="W19">IFERROR(INDEX(_xlfn.UNIQUE(TRIM(_xlfn.TEXTSPLIT(Table26789[[#This Row],[Selection Options]:[Selection Options]],";"))),,W$11),"")</f>
        <v/>
      </c>
      <c r="X19" s="29" t="str" cm="1">
        <f t="array" ref="X19">IFERROR(INDEX(_xlfn.UNIQUE(TRIM(_xlfn.TEXTSPLIT(Table26789[[#This Row],[Selection Options]:[Selection Options]],";"))),,X$11),"")</f>
        <v/>
      </c>
      <c r="Y19" s="30" cm="1">
        <f t="array" ref="Y19">IF(Table26789[[#This Row],[1]]="","",Table26789[[#This Row],[Weight]:[Weight]]-(Table26789[[#This Row],[Weight]:[Weight]]*((_xlfn.XMATCH(Table26789[[#This Row],[1]],Table26789[[#This Row],[1]:[11]],0))-1)/(COUNTA(Table26789[[#This Row],[1]:[11]])-COUNTBLANK(Table26789[[#This Row],[1]:[11]])-1)))</f>
        <v>8.0645161290322578E-3</v>
      </c>
      <c r="Z19" s="30" cm="1">
        <f t="array" ref="Z19">IF(Table26789[[#This Row],[2]]="","",Table26789[[#This Row],[Weight]:[Weight]]-(Table26789[[#This Row],[Weight]:[Weight]]*((_xlfn.XMATCH(Table26789[[#This Row],[2]],Table26789[[#This Row],[1]:[11]],0))-1)/(COUNTA(Table26789[[#This Row],[1]:[11]])-COUNTBLANK(Table26789[[#This Row],[1]:[11]])-1)))</f>
        <v>0</v>
      </c>
      <c r="AA19" s="30" t="str" cm="1">
        <f t="array" ref="AA19">IF(Table26789[[#This Row],[3]]="","",Table26789[[#This Row],[Weight]:[Weight]]-(Table26789[[#This Row],[Weight]:[Weight]]*((_xlfn.XMATCH(Table26789[[#This Row],[3]],Table26789[[#This Row],[1]:[11]],0))-1)/(COUNTA(Table26789[[#This Row],[1]:[11]])-COUNTBLANK(Table26789[[#This Row],[1]:[11]])-1)))</f>
        <v/>
      </c>
      <c r="AB19" s="30" t="str" cm="1">
        <f t="array" ref="AB19">IF(Table26789[[#This Row],[4]]="","",Table26789[[#This Row],[Weight]:[Weight]]-(Table26789[[#This Row],[Weight]:[Weight]]*((_xlfn.XMATCH(Table26789[[#This Row],[4]],Table26789[[#This Row],[1]:[11]],0))-1)/(COUNTA(Table26789[[#This Row],[1]:[11]])-COUNTBLANK(Table26789[[#This Row],[1]:[11]])-1)))</f>
        <v/>
      </c>
      <c r="AC19" s="30" t="str" cm="1">
        <f t="array" ref="AC19">IF(Table26789[[#This Row],[5]]="","",Table26789[[#This Row],[Weight]:[Weight]]-(Table26789[[#This Row],[Weight]:[Weight]]*((_xlfn.XMATCH(Table26789[[#This Row],[5]],Table26789[[#This Row],[1]:[11]],0))-1)/(COUNTA(Table26789[[#This Row],[1]:[11]])-COUNTBLANK(Table26789[[#This Row],[1]:[11]])-1)))</f>
        <v/>
      </c>
      <c r="AD19" s="30" t="str" cm="1">
        <f t="array" ref="AD19">IF(Table26789[[#This Row],[6]]="","",Table26789[[#This Row],[Weight]:[Weight]]-(Table26789[[#This Row],[Weight]:[Weight]]*((_xlfn.XMATCH(Table26789[[#This Row],[6]],Table26789[[#This Row],[1]:[11]],0))-1)/(COUNTA(Table26789[[#This Row],[1]:[11]])-COUNTBLANK(Table26789[[#This Row],[1]:[11]])-1)))</f>
        <v/>
      </c>
      <c r="AE19" s="30" t="str" cm="1">
        <f t="array" ref="AE19">IF(Table26789[[#This Row],[7]]="","",Table26789[[#This Row],[Weight]:[Weight]]-(Table26789[[#This Row],[Weight]:[Weight]]*((_xlfn.XMATCH(Table26789[[#This Row],[7]],Table26789[[#This Row],[1]:[11]],0))-1)/(COUNTA(Table26789[[#This Row],[1]:[11]])-COUNTBLANK(Table26789[[#This Row],[1]:[11]])-1)))</f>
        <v/>
      </c>
      <c r="AF19" s="30" t="str" cm="1">
        <f t="array" ref="AF19">IF(Table26789[[#This Row],[8]]="","",Table26789[[#This Row],[Weight]:[Weight]]-(Table26789[[#This Row],[Weight]:[Weight]]*((_xlfn.XMATCH(Table26789[[#This Row],[8]],Table26789[[#This Row],[1]:[11]],0))-1)/(COUNTA(Table26789[[#This Row],[1]:[11]])-COUNTBLANK(Table26789[[#This Row],[1]:[11]])-1)))</f>
        <v/>
      </c>
      <c r="AG19" s="30" t="str" cm="1">
        <f t="array" ref="AG19">IF(Table26789[[#This Row],[9]]="","",Table26789[[#This Row],[Weight]:[Weight]]-(Table26789[[#This Row],[Weight]:[Weight]]*((_xlfn.XMATCH(Table26789[[#This Row],[9]],Table26789[[#This Row],[1]:[11]],0))-1)/(COUNTA(Table26789[[#This Row],[1]:[11]])-COUNTBLANK(Table26789[[#This Row],[1]:[11]])-1)))</f>
        <v/>
      </c>
      <c r="AH19" s="30" t="str" cm="1">
        <f t="array" ref="AH19">IF(Table26789[[#This Row],[10]]="","",Table26789[[#This Row],[Weight]:[Weight]]-(Table26789[[#This Row],[Weight]:[Weight]]*((_xlfn.XMATCH(Table26789[[#This Row],[10]],Table26789[[#This Row],[1]:[11]],0))-1)/(COUNTA(Table26789[[#This Row],[1]:[11]])-COUNTBLANK(Table26789[[#This Row],[1]:[11]])-1)))</f>
        <v/>
      </c>
      <c r="AI19" s="30" t="str" cm="1">
        <f t="array" ref="AI19">IF(Table26789[[#This Row],[11]]="","",Table26789[[#This Row],[Weight]:[Weight]]-(Table26789[[#This Row],[Weight]:[Weight]]*((_xlfn.XMATCH(Table26789[[#This Row],[11]],Table26789[[#This Row],[1]:[11]],0))-1)/(COUNTA(Table26789[[#This Row],[1]:[11]])-COUNTBLANK(Table26789[[#This Row],[1]:[11]])-1)))</f>
        <v/>
      </c>
    </row>
    <row r="20" spans="1:35" ht="108" x14ac:dyDescent="0.2">
      <c r="A20" s="195" t="s">
        <v>313</v>
      </c>
      <c r="B20" s="201" t="s">
        <v>314</v>
      </c>
      <c r="C20" s="201" t="s">
        <v>315</v>
      </c>
      <c r="D20" s="33"/>
      <c r="E20" s="21" t="s">
        <v>55</v>
      </c>
      <c r="F20" s="34" t="s">
        <v>106</v>
      </c>
      <c r="G20" s="35" cm="1">
        <f t="array" ref="G20">_xlfn.IFS(F20="","",F20="No interest",0,F20="Nice to have",1,F20="Useful",2,F20="Important",3,F20="Very important",4,F20="Critical",5,F20="Show stopper",6)</f>
        <v>5</v>
      </c>
      <c r="H20" s="36">
        <f t="shared" si="1"/>
        <v>8.0645161290322578E-3</v>
      </c>
      <c r="I20" s="37" t="s">
        <v>316</v>
      </c>
      <c r="J20" s="37" t="str" cm="1">
        <f t="array" ref="J20">_xlfn.TEXTJOIN(" "&amp;CHAR(10),,TEXT(SUBSTITUTE(Table26789[[#This Row],[12]:[22]],".",","),"0,00%"))</f>
        <v>0,00806451612903226 
0,00%</v>
      </c>
      <c r="K20" s="38" t="s">
        <v>317</v>
      </c>
      <c r="L20" s="39">
        <f>H20-(H20*((MATCH(Table26789[[#This Row],[Evaluators Response (SELECT)]],Table26789[[#This Row],[1]:[11]],0)-1)/(COUNTA(Table26789[[#This Row],[1]:[11]])-COUNTBLANK(Table26789[[#This Row],[1]:[11]])-1)))</f>
        <v>8.0645161290322578E-3</v>
      </c>
      <c r="M20" s="40"/>
      <c r="N20" s="29" t="str" cm="1">
        <f t="array" ref="N20">IFERROR(INDEX(_xlfn.UNIQUE(TRIM(_xlfn.TEXTSPLIT(Table26789[[#This Row],[Selection Options]:[Selection Options]],";"))),,N$11),"")</f>
        <v>100%) Fully comply with requirement - The proposed solution does support hash algorithm (SHA)- 256</v>
      </c>
      <c r="O20" s="29" t="str" cm="1">
        <f t="array" ref="O20">IFERROR(INDEX(_xlfn.UNIQUE(TRIM(_xlfn.TEXTSPLIT(Table26789[[#This Row],[Selection Options]:[Selection Options]],";"))),,O$11),"")</f>
        <v xml:space="preserve">
(0%) No compliance - The proposed solution does not support hash algorithm (SHA)- 256.</v>
      </c>
      <c r="P20" s="29" t="str" cm="1">
        <f t="array" ref="P20">IFERROR(INDEX(_xlfn.UNIQUE(TRIM(_xlfn.TEXTSPLIT(Table26789[[#This Row],[Selection Options]:[Selection Options]],";"))),,P$11),"")</f>
        <v/>
      </c>
      <c r="Q20" s="29" t="str" cm="1">
        <f t="array" ref="Q20">IFERROR(INDEX(_xlfn.UNIQUE(TRIM(_xlfn.TEXTSPLIT(Table26789[[#This Row],[Selection Options]:[Selection Options]],";"))),,Q$11),"")</f>
        <v/>
      </c>
      <c r="R20" s="29" t="str" cm="1">
        <f t="array" ref="R20">IFERROR(INDEX(_xlfn.UNIQUE(TRIM(_xlfn.TEXTSPLIT(Table26789[[#This Row],[Selection Options]:[Selection Options]],";"))),,R$11),"")</f>
        <v/>
      </c>
      <c r="S20" s="29" t="str" cm="1">
        <f t="array" ref="S20">IFERROR(INDEX(_xlfn.UNIQUE(TRIM(_xlfn.TEXTSPLIT(Table26789[[#This Row],[Selection Options]:[Selection Options]],";"))),,S$11),"")</f>
        <v/>
      </c>
      <c r="T20" s="29" t="str" cm="1">
        <f t="array" ref="T20">IFERROR(INDEX(_xlfn.UNIQUE(TRIM(_xlfn.TEXTSPLIT(Table26789[[#This Row],[Selection Options]:[Selection Options]],";"))),,T$11),"")</f>
        <v/>
      </c>
      <c r="U20" s="29" t="str" cm="1">
        <f t="array" ref="U20">IFERROR(INDEX(_xlfn.UNIQUE(TRIM(_xlfn.TEXTSPLIT(Table26789[[#This Row],[Selection Options]:[Selection Options]],";"))),,U$11),"")</f>
        <v/>
      </c>
      <c r="V20" s="29" t="str" cm="1">
        <f t="array" ref="V20">IFERROR(INDEX(_xlfn.UNIQUE(TRIM(_xlfn.TEXTSPLIT(Table26789[[#This Row],[Selection Options]:[Selection Options]],";"))),,V$11),"")</f>
        <v/>
      </c>
      <c r="W20" s="29" t="str" cm="1">
        <f t="array" ref="W20">IFERROR(INDEX(_xlfn.UNIQUE(TRIM(_xlfn.TEXTSPLIT(Table26789[[#This Row],[Selection Options]:[Selection Options]],";"))),,W$11),"")</f>
        <v/>
      </c>
      <c r="X20" s="29" t="str" cm="1">
        <f t="array" ref="X20">IFERROR(INDEX(_xlfn.UNIQUE(TRIM(_xlfn.TEXTSPLIT(Table26789[[#This Row],[Selection Options]:[Selection Options]],";"))),,X$11),"")</f>
        <v/>
      </c>
      <c r="Y20" s="30" cm="1">
        <f t="array" ref="Y20">IF(Table26789[[#This Row],[1]]="","",Table26789[[#This Row],[Weight]:[Weight]]-(Table26789[[#This Row],[Weight]:[Weight]]*((_xlfn.XMATCH(Table26789[[#This Row],[1]],Table26789[[#This Row],[1]:[11]],0))-1)/(COUNTA(Table26789[[#This Row],[1]:[11]])-COUNTBLANK(Table26789[[#This Row],[1]:[11]])-1)))</f>
        <v>8.0645161290322578E-3</v>
      </c>
      <c r="Z20" s="30" cm="1">
        <f t="array" ref="Z20">IF(Table26789[[#This Row],[2]]="","",Table26789[[#This Row],[Weight]:[Weight]]-(Table26789[[#This Row],[Weight]:[Weight]]*((_xlfn.XMATCH(Table26789[[#This Row],[2]],Table26789[[#This Row],[1]:[11]],0))-1)/(COUNTA(Table26789[[#This Row],[1]:[11]])-COUNTBLANK(Table26789[[#This Row],[1]:[11]])-1)))</f>
        <v>0</v>
      </c>
      <c r="AA20" s="30" t="str" cm="1">
        <f t="array" ref="AA20">IF(Table26789[[#This Row],[3]]="","",Table26789[[#This Row],[Weight]:[Weight]]-(Table26789[[#This Row],[Weight]:[Weight]]*((_xlfn.XMATCH(Table26789[[#This Row],[3]],Table26789[[#This Row],[1]:[11]],0))-1)/(COUNTA(Table26789[[#This Row],[1]:[11]])-COUNTBLANK(Table26789[[#This Row],[1]:[11]])-1)))</f>
        <v/>
      </c>
      <c r="AB20" s="30" t="str" cm="1">
        <f t="array" ref="AB20">IF(Table26789[[#This Row],[4]]="","",Table26789[[#This Row],[Weight]:[Weight]]-(Table26789[[#This Row],[Weight]:[Weight]]*((_xlfn.XMATCH(Table26789[[#This Row],[4]],Table26789[[#This Row],[1]:[11]],0))-1)/(COUNTA(Table26789[[#This Row],[1]:[11]])-COUNTBLANK(Table26789[[#This Row],[1]:[11]])-1)))</f>
        <v/>
      </c>
      <c r="AC20" s="30" t="str" cm="1">
        <f t="array" ref="AC20">IF(Table26789[[#This Row],[5]]="","",Table26789[[#This Row],[Weight]:[Weight]]-(Table26789[[#This Row],[Weight]:[Weight]]*((_xlfn.XMATCH(Table26789[[#This Row],[5]],Table26789[[#This Row],[1]:[11]],0))-1)/(COUNTA(Table26789[[#This Row],[1]:[11]])-COUNTBLANK(Table26789[[#This Row],[1]:[11]])-1)))</f>
        <v/>
      </c>
      <c r="AD20" s="30" t="str" cm="1">
        <f t="array" ref="AD20">IF(Table26789[[#This Row],[6]]="","",Table26789[[#This Row],[Weight]:[Weight]]-(Table26789[[#This Row],[Weight]:[Weight]]*((_xlfn.XMATCH(Table26789[[#This Row],[6]],Table26789[[#This Row],[1]:[11]],0))-1)/(COUNTA(Table26789[[#This Row],[1]:[11]])-COUNTBLANK(Table26789[[#This Row],[1]:[11]])-1)))</f>
        <v/>
      </c>
      <c r="AE20" s="30" t="str" cm="1">
        <f t="array" ref="AE20">IF(Table26789[[#This Row],[7]]="","",Table26789[[#This Row],[Weight]:[Weight]]-(Table26789[[#This Row],[Weight]:[Weight]]*((_xlfn.XMATCH(Table26789[[#This Row],[7]],Table26789[[#This Row],[1]:[11]],0))-1)/(COUNTA(Table26789[[#This Row],[1]:[11]])-COUNTBLANK(Table26789[[#This Row],[1]:[11]])-1)))</f>
        <v/>
      </c>
      <c r="AF20" s="30" t="str" cm="1">
        <f t="array" ref="AF20">IF(Table26789[[#This Row],[8]]="","",Table26789[[#This Row],[Weight]:[Weight]]-(Table26789[[#This Row],[Weight]:[Weight]]*((_xlfn.XMATCH(Table26789[[#This Row],[8]],Table26789[[#This Row],[1]:[11]],0))-1)/(COUNTA(Table26789[[#This Row],[1]:[11]])-COUNTBLANK(Table26789[[#This Row],[1]:[11]])-1)))</f>
        <v/>
      </c>
      <c r="AG20" s="30" t="str" cm="1">
        <f t="array" ref="AG20">IF(Table26789[[#This Row],[9]]="","",Table26789[[#This Row],[Weight]:[Weight]]-(Table26789[[#This Row],[Weight]:[Weight]]*((_xlfn.XMATCH(Table26789[[#This Row],[9]],Table26789[[#This Row],[1]:[11]],0))-1)/(COUNTA(Table26789[[#This Row],[1]:[11]])-COUNTBLANK(Table26789[[#This Row],[1]:[11]])-1)))</f>
        <v/>
      </c>
      <c r="AH20" s="30" t="str" cm="1">
        <f t="array" ref="AH20">IF(Table26789[[#This Row],[10]]="","",Table26789[[#This Row],[Weight]:[Weight]]-(Table26789[[#This Row],[Weight]:[Weight]]*((_xlfn.XMATCH(Table26789[[#This Row],[10]],Table26789[[#This Row],[1]:[11]],0))-1)/(COUNTA(Table26789[[#This Row],[1]:[11]])-COUNTBLANK(Table26789[[#This Row],[1]:[11]])-1)))</f>
        <v/>
      </c>
      <c r="AI20" s="30" t="str" cm="1">
        <f t="array" ref="AI20">IF(Table26789[[#This Row],[11]]="","",Table26789[[#This Row],[Weight]:[Weight]]-(Table26789[[#This Row],[Weight]:[Weight]]*((_xlfn.XMATCH(Table26789[[#This Row],[11]],Table26789[[#This Row],[1]:[11]],0))-1)/(COUNTA(Table26789[[#This Row],[1]:[11]])-COUNTBLANK(Table26789[[#This Row],[1]:[11]])-1)))</f>
        <v/>
      </c>
    </row>
    <row r="21" spans="1:35" ht="252" x14ac:dyDescent="0.2">
      <c r="A21" s="195" t="s">
        <v>318</v>
      </c>
      <c r="B21" s="199" t="s">
        <v>319</v>
      </c>
      <c r="C21" s="199" t="s">
        <v>320</v>
      </c>
      <c r="D21" s="33"/>
      <c r="E21" s="21" t="s">
        <v>55</v>
      </c>
      <c r="F21" s="34" t="s">
        <v>106</v>
      </c>
      <c r="G21" s="35" cm="1">
        <f t="array" ref="G21">_xlfn.IFS(F21="","",F21="No interest",0,F21="Nice to have",1,F21="Useful",2,F21="Important",3,F21="Very important",4,F21="Critical",5,F21="Show stopper",6)</f>
        <v>5</v>
      </c>
      <c r="H21" s="36">
        <f t="shared" si="1"/>
        <v>8.0645161290322578E-3</v>
      </c>
      <c r="I21" s="37" t="s">
        <v>321</v>
      </c>
      <c r="J21" s="37" t="str" cm="1">
        <f t="array" ref="J21">_xlfn.TEXTJOIN(" "&amp;CHAR(10),,TEXT(SUBSTITUTE(Table26789[[#This Row],[12]:[22]],".",","),"0,00%"))</f>
        <v>0,00806451612903226 
0,00%</v>
      </c>
      <c r="K21" s="38" t="s">
        <v>322</v>
      </c>
      <c r="L21" s="39">
        <f>H21-(H21*((MATCH(Table26789[[#This Row],[Evaluators Response (SELECT)]],Table26789[[#This Row],[1]:[11]],0)-1)/(COUNTA(Table26789[[#This Row],[1]:[11]])-COUNTBLANK(Table26789[[#This Row],[1]:[11]])-1)))</f>
        <v>8.0645161290322578E-3</v>
      </c>
      <c r="M21" s="40"/>
      <c r="N21" s="29" t="str" cm="1">
        <f t="array" ref="N21">IFERROR(INDEX(_xlfn.UNIQUE(TRIM(_xlfn.TEXTSPLIT(Table26789[[#This Row],[Selection Options]:[Selection Options]],";"))),,N$11),"")</f>
        <v>(100%) Fully comply with requirement - The proposed solution does have Audit trails, logs, user administration and user activity logs shall be enabled, encrypted, and securely kept with limited access to administrators</v>
      </c>
      <c r="O21" s="29" t="str" cm="1">
        <f t="array" ref="O21">IFERROR(INDEX(_xlfn.UNIQUE(TRIM(_xlfn.TEXTSPLIT(Table26789[[#This Row],[Selection Options]:[Selection Options]],";"))),,O$11),"")</f>
        <v xml:space="preserve">
(0%) No compliance - The proposed solution does not have Audit trails, logs, user administration and user activity logs shall be enabled, encrypted, and securely kept with limited access to administrators.</v>
      </c>
      <c r="P21" s="29" t="str" cm="1">
        <f t="array" ref="P21">IFERROR(INDEX(_xlfn.UNIQUE(TRIM(_xlfn.TEXTSPLIT(Table26789[[#This Row],[Selection Options]:[Selection Options]],";"))),,P$11),"")</f>
        <v/>
      </c>
      <c r="Q21" s="29" t="str" cm="1">
        <f t="array" ref="Q21">IFERROR(INDEX(_xlfn.UNIQUE(TRIM(_xlfn.TEXTSPLIT(Table26789[[#This Row],[Selection Options]:[Selection Options]],";"))),,Q$11),"")</f>
        <v/>
      </c>
      <c r="R21" s="29" t="str" cm="1">
        <f t="array" ref="R21">IFERROR(INDEX(_xlfn.UNIQUE(TRIM(_xlfn.TEXTSPLIT(Table26789[[#This Row],[Selection Options]:[Selection Options]],";"))),,R$11),"")</f>
        <v/>
      </c>
      <c r="S21" s="29" t="str" cm="1">
        <f t="array" ref="S21">IFERROR(INDEX(_xlfn.UNIQUE(TRIM(_xlfn.TEXTSPLIT(Table26789[[#This Row],[Selection Options]:[Selection Options]],";"))),,S$11),"")</f>
        <v/>
      </c>
      <c r="T21" s="29" t="str" cm="1">
        <f t="array" ref="T21">IFERROR(INDEX(_xlfn.UNIQUE(TRIM(_xlfn.TEXTSPLIT(Table26789[[#This Row],[Selection Options]:[Selection Options]],";"))),,T$11),"")</f>
        <v/>
      </c>
      <c r="U21" s="29" t="str" cm="1">
        <f t="array" ref="U21">IFERROR(INDEX(_xlfn.UNIQUE(TRIM(_xlfn.TEXTSPLIT(Table26789[[#This Row],[Selection Options]:[Selection Options]],";"))),,U$11),"")</f>
        <v/>
      </c>
      <c r="V21" s="29" t="str" cm="1">
        <f t="array" ref="V21">IFERROR(INDEX(_xlfn.UNIQUE(TRIM(_xlfn.TEXTSPLIT(Table26789[[#This Row],[Selection Options]:[Selection Options]],";"))),,V$11),"")</f>
        <v/>
      </c>
      <c r="W21" s="29" t="str" cm="1">
        <f t="array" ref="W21">IFERROR(INDEX(_xlfn.UNIQUE(TRIM(_xlfn.TEXTSPLIT(Table26789[[#This Row],[Selection Options]:[Selection Options]],";"))),,W$11),"")</f>
        <v/>
      </c>
      <c r="X21" s="29" t="str" cm="1">
        <f t="array" ref="X21">IFERROR(INDEX(_xlfn.UNIQUE(TRIM(_xlfn.TEXTSPLIT(Table26789[[#This Row],[Selection Options]:[Selection Options]],";"))),,X$11),"")</f>
        <v/>
      </c>
      <c r="Y21" s="30" cm="1">
        <f t="array" ref="Y21">IF(Table26789[[#This Row],[1]]="","",Table26789[[#This Row],[Weight]:[Weight]]-(Table26789[[#This Row],[Weight]:[Weight]]*((_xlfn.XMATCH(Table26789[[#This Row],[1]],Table26789[[#This Row],[1]:[11]],0))-1)/(COUNTA(Table26789[[#This Row],[1]:[11]])-COUNTBLANK(Table26789[[#This Row],[1]:[11]])-1)))</f>
        <v>8.0645161290322578E-3</v>
      </c>
      <c r="Z21" s="30" cm="1">
        <f t="array" ref="Z21">IF(Table26789[[#This Row],[2]]="","",Table26789[[#This Row],[Weight]:[Weight]]-(Table26789[[#This Row],[Weight]:[Weight]]*((_xlfn.XMATCH(Table26789[[#This Row],[2]],Table26789[[#This Row],[1]:[11]],0))-1)/(COUNTA(Table26789[[#This Row],[1]:[11]])-COUNTBLANK(Table26789[[#This Row],[1]:[11]])-1)))</f>
        <v>0</v>
      </c>
      <c r="AA21" s="30" t="str" cm="1">
        <f t="array" ref="AA21">IF(Table26789[[#This Row],[3]]="","",Table26789[[#This Row],[Weight]:[Weight]]-(Table26789[[#This Row],[Weight]:[Weight]]*((_xlfn.XMATCH(Table26789[[#This Row],[3]],Table26789[[#This Row],[1]:[11]],0))-1)/(COUNTA(Table26789[[#This Row],[1]:[11]])-COUNTBLANK(Table26789[[#This Row],[1]:[11]])-1)))</f>
        <v/>
      </c>
      <c r="AB21" s="30" t="str" cm="1">
        <f t="array" ref="AB21">IF(Table26789[[#This Row],[4]]="","",Table26789[[#This Row],[Weight]:[Weight]]-(Table26789[[#This Row],[Weight]:[Weight]]*((_xlfn.XMATCH(Table26789[[#This Row],[4]],Table26789[[#This Row],[1]:[11]],0))-1)/(COUNTA(Table26789[[#This Row],[1]:[11]])-COUNTBLANK(Table26789[[#This Row],[1]:[11]])-1)))</f>
        <v/>
      </c>
      <c r="AC21" s="30" t="str" cm="1">
        <f t="array" ref="AC21">IF(Table26789[[#This Row],[5]]="","",Table26789[[#This Row],[Weight]:[Weight]]-(Table26789[[#This Row],[Weight]:[Weight]]*((_xlfn.XMATCH(Table26789[[#This Row],[5]],Table26789[[#This Row],[1]:[11]],0))-1)/(COUNTA(Table26789[[#This Row],[1]:[11]])-COUNTBLANK(Table26789[[#This Row],[1]:[11]])-1)))</f>
        <v/>
      </c>
      <c r="AD21" s="30" t="str" cm="1">
        <f t="array" ref="AD21">IF(Table26789[[#This Row],[6]]="","",Table26789[[#This Row],[Weight]:[Weight]]-(Table26789[[#This Row],[Weight]:[Weight]]*((_xlfn.XMATCH(Table26789[[#This Row],[6]],Table26789[[#This Row],[1]:[11]],0))-1)/(COUNTA(Table26789[[#This Row],[1]:[11]])-COUNTBLANK(Table26789[[#This Row],[1]:[11]])-1)))</f>
        <v/>
      </c>
      <c r="AE21" s="30" t="str" cm="1">
        <f t="array" ref="AE21">IF(Table26789[[#This Row],[7]]="","",Table26789[[#This Row],[Weight]:[Weight]]-(Table26789[[#This Row],[Weight]:[Weight]]*((_xlfn.XMATCH(Table26789[[#This Row],[7]],Table26789[[#This Row],[1]:[11]],0))-1)/(COUNTA(Table26789[[#This Row],[1]:[11]])-COUNTBLANK(Table26789[[#This Row],[1]:[11]])-1)))</f>
        <v/>
      </c>
      <c r="AF21" s="30" t="str" cm="1">
        <f t="array" ref="AF21">IF(Table26789[[#This Row],[8]]="","",Table26789[[#This Row],[Weight]:[Weight]]-(Table26789[[#This Row],[Weight]:[Weight]]*((_xlfn.XMATCH(Table26789[[#This Row],[8]],Table26789[[#This Row],[1]:[11]],0))-1)/(COUNTA(Table26789[[#This Row],[1]:[11]])-COUNTBLANK(Table26789[[#This Row],[1]:[11]])-1)))</f>
        <v/>
      </c>
      <c r="AG21" s="30" t="str" cm="1">
        <f t="array" ref="AG21">IF(Table26789[[#This Row],[9]]="","",Table26789[[#This Row],[Weight]:[Weight]]-(Table26789[[#This Row],[Weight]:[Weight]]*((_xlfn.XMATCH(Table26789[[#This Row],[9]],Table26789[[#This Row],[1]:[11]],0))-1)/(COUNTA(Table26789[[#This Row],[1]:[11]])-COUNTBLANK(Table26789[[#This Row],[1]:[11]])-1)))</f>
        <v/>
      </c>
      <c r="AH21" s="30" t="str" cm="1">
        <f t="array" ref="AH21">IF(Table26789[[#This Row],[10]]="","",Table26789[[#This Row],[Weight]:[Weight]]-(Table26789[[#This Row],[Weight]:[Weight]]*((_xlfn.XMATCH(Table26789[[#This Row],[10]],Table26789[[#This Row],[1]:[11]],0))-1)/(COUNTA(Table26789[[#This Row],[1]:[11]])-COUNTBLANK(Table26789[[#This Row],[1]:[11]])-1)))</f>
        <v/>
      </c>
      <c r="AI21" s="30" t="str" cm="1">
        <f t="array" ref="AI21">IF(Table26789[[#This Row],[11]]="","",Table26789[[#This Row],[Weight]:[Weight]]-(Table26789[[#This Row],[Weight]:[Weight]]*((_xlfn.XMATCH(Table26789[[#This Row],[11]],Table26789[[#This Row],[1]:[11]],0))-1)/(COUNTA(Table26789[[#This Row],[1]:[11]])-COUNTBLANK(Table26789[[#This Row],[1]:[11]])-1)))</f>
        <v/>
      </c>
    </row>
    <row r="22" spans="1:35" ht="132" x14ac:dyDescent="0.2">
      <c r="A22" s="195" t="s">
        <v>323</v>
      </c>
      <c r="B22" s="199" t="s">
        <v>324</v>
      </c>
      <c r="C22" s="199" t="s">
        <v>325</v>
      </c>
      <c r="D22" s="33"/>
      <c r="E22" s="21" t="s">
        <v>55</v>
      </c>
      <c r="F22" s="34" t="s">
        <v>106</v>
      </c>
      <c r="G22" s="35" cm="1">
        <f t="array" ref="G22">_xlfn.IFS(F22="","",F22="No interest",0,F22="Nice to have",1,F22="Useful",2,F22="Important",3,F22="Very important",4,F22="Critical",5,F22="Show stopper",6)</f>
        <v>5</v>
      </c>
      <c r="H22" s="36">
        <f t="shared" si="1"/>
        <v>8.0645161290322578E-3</v>
      </c>
      <c r="I22" s="37" t="s">
        <v>326</v>
      </c>
      <c r="J22" s="37" t="str" cm="1">
        <f t="array" ref="J22">_xlfn.TEXTJOIN(" "&amp;CHAR(10),,TEXT(SUBSTITUTE(Table26789[[#This Row],[12]:[22]],".",","),"0,00%"))</f>
        <v>0,00806451612903226 
0,00%</v>
      </c>
      <c r="K22" s="38" t="s">
        <v>327</v>
      </c>
      <c r="L22" s="39">
        <f>H22-(H22*((MATCH(Table26789[[#This Row],[Evaluators Response (SELECT)]],Table26789[[#This Row],[1]:[11]],0)-1)/(COUNTA(Table26789[[#This Row],[1]:[11]])-COUNTBLANK(Table26789[[#This Row],[1]:[11]])-1)))</f>
        <v>8.0645161290322578E-3</v>
      </c>
      <c r="M22" s="40"/>
      <c r="N22" s="29" t="str" cm="1">
        <f t="array" ref="N22">IFERROR(INDEX(_xlfn.UNIQUE(TRIM(_xlfn.TEXTSPLIT(Table26789[[#This Row],[Selection Options]:[Selection Options]],";"))),,N$11),"")</f>
        <v>(100%) Fully comply with requirement - The proposed solution does mask PII on nonproduction environments</v>
      </c>
      <c r="O22" s="29" t="str" cm="1">
        <f t="array" ref="O22">IFERROR(INDEX(_xlfn.UNIQUE(TRIM(_xlfn.TEXTSPLIT(Table26789[[#This Row],[Selection Options]:[Selection Options]],";"))),,O$11),"")</f>
        <v xml:space="preserve">
(0%) No compliance - The proposed solution does not mask PII in nonproduction environments.</v>
      </c>
      <c r="P22" s="29" t="str" cm="1">
        <f t="array" ref="P22">IFERROR(INDEX(_xlfn.UNIQUE(TRIM(_xlfn.TEXTSPLIT(Table26789[[#This Row],[Selection Options]:[Selection Options]],";"))),,P$11),"")</f>
        <v/>
      </c>
      <c r="Q22" s="29" t="str" cm="1">
        <f t="array" ref="Q22">IFERROR(INDEX(_xlfn.UNIQUE(TRIM(_xlfn.TEXTSPLIT(Table26789[[#This Row],[Selection Options]:[Selection Options]],";"))),,Q$11),"")</f>
        <v/>
      </c>
      <c r="R22" s="29" t="str" cm="1">
        <f t="array" ref="R22">IFERROR(INDEX(_xlfn.UNIQUE(TRIM(_xlfn.TEXTSPLIT(Table26789[[#This Row],[Selection Options]:[Selection Options]],";"))),,R$11),"")</f>
        <v/>
      </c>
      <c r="S22" s="29" t="str" cm="1">
        <f t="array" ref="S22">IFERROR(INDEX(_xlfn.UNIQUE(TRIM(_xlfn.TEXTSPLIT(Table26789[[#This Row],[Selection Options]:[Selection Options]],";"))),,S$11),"")</f>
        <v/>
      </c>
      <c r="T22" s="29" t="str" cm="1">
        <f t="array" ref="T22">IFERROR(INDEX(_xlfn.UNIQUE(TRIM(_xlfn.TEXTSPLIT(Table26789[[#This Row],[Selection Options]:[Selection Options]],";"))),,T$11),"")</f>
        <v/>
      </c>
      <c r="U22" s="29" t="str" cm="1">
        <f t="array" ref="U22">IFERROR(INDEX(_xlfn.UNIQUE(TRIM(_xlfn.TEXTSPLIT(Table26789[[#This Row],[Selection Options]:[Selection Options]],";"))),,U$11),"")</f>
        <v/>
      </c>
      <c r="V22" s="29" t="str" cm="1">
        <f t="array" ref="V22">IFERROR(INDEX(_xlfn.UNIQUE(TRIM(_xlfn.TEXTSPLIT(Table26789[[#This Row],[Selection Options]:[Selection Options]],";"))),,V$11),"")</f>
        <v/>
      </c>
      <c r="W22" s="29" t="str" cm="1">
        <f t="array" ref="W22">IFERROR(INDEX(_xlfn.UNIQUE(TRIM(_xlfn.TEXTSPLIT(Table26789[[#This Row],[Selection Options]:[Selection Options]],";"))),,W$11),"")</f>
        <v/>
      </c>
      <c r="X22" s="29" t="str" cm="1">
        <f t="array" ref="X22">IFERROR(INDEX(_xlfn.UNIQUE(TRIM(_xlfn.TEXTSPLIT(Table26789[[#This Row],[Selection Options]:[Selection Options]],";"))),,X$11),"")</f>
        <v/>
      </c>
      <c r="Y22" s="30" cm="1">
        <f t="array" ref="Y22">IF(Table26789[[#This Row],[1]]="","",Table26789[[#This Row],[Weight]:[Weight]]-(Table26789[[#This Row],[Weight]:[Weight]]*((_xlfn.XMATCH(Table26789[[#This Row],[1]],Table26789[[#This Row],[1]:[11]],0))-1)/(COUNTA(Table26789[[#This Row],[1]:[11]])-COUNTBLANK(Table26789[[#This Row],[1]:[11]])-1)))</f>
        <v>8.0645161290322578E-3</v>
      </c>
      <c r="Z22" s="30" cm="1">
        <f t="array" ref="Z22">IF(Table26789[[#This Row],[2]]="","",Table26789[[#This Row],[Weight]:[Weight]]-(Table26789[[#This Row],[Weight]:[Weight]]*((_xlfn.XMATCH(Table26789[[#This Row],[2]],Table26789[[#This Row],[1]:[11]],0))-1)/(COUNTA(Table26789[[#This Row],[1]:[11]])-COUNTBLANK(Table26789[[#This Row],[1]:[11]])-1)))</f>
        <v>0</v>
      </c>
      <c r="AA22" s="30" t="str" cm="1">
        <f t="array" ref="AA22">IF(Table26789[[#This Row],[3]]="","",Table26789[[#This Row],[Weight]:[Weight]]-(Table26789[[#This Row],[Weight]:[Weight]]*((_xlfn.XMATCH(Table26789[[#This Row],[3]],Table26789[[#This Row],[1]:[11]],0))-1)/(COUNTA(Table26789[[#This Row],[1]:[11]])-COUNTBLANK(Table26789[[#This Row],[1]:[11]])-1)))</f>
        <v/>
      </c>
      <c r="AB22" s="30" t="str" cm="1">
        <f t="array" ref="AB22">IF(Table26789[[#This Row],[4]]="","",Table26789[[#This Row],[Weight]:[Weight]]-(Table26789[[#This Row],[Weight]:[Weight]]*((_xlfn.XMATCH(Table26789[[#This Row],[4]],Table26789[[#This Row],[1]:[11]],0))-1)/(COUNTA(Table26789[[#This Row],[1]:[11]])-COUNTBLANK(Table26789[[#This Row],[1]:[11]])-1)))</f>
        <v/>
      </c>
      <c r="AC22" s="30" t="str" cm="1">
        <f t="array" ref="AC22">IF(Table26789[[#This Row],[5]]="","",Table26789[[#This Row],[Weight]:[Weight]]-(Table26789[[#This Row],[Weight]:[Weight]]*((_xlfn.XMATCH(Table26789[[#This Row],[5]],Table26789[[#This Row],[1]:[11]],0))-1)/(COUNTA(Table26789[[#This Row],[1]:[11]])-COUNTBLANK(Table26789[[#This Row],[1]:[11]])-1)))</f>
        <v/>
      </c>
      <c r="AD22" s="30" t="str" cm="1">
        <f t="array" ref="AD22">IF(Table26789[[#This Row],[6]]="","",Table26789[[#This Row],[Weight]:[Weight]]-(Table26789[[#This Row],[Weight]:[Weight]]*((_xlfn.XMATCH(Table26789[[#This Row],[6]],Table26789[[#This Row],[1]:[11]],0))-1)/(COUNTA(Table26789[[#This Row],[1]:[11]])-COUNTBLANK(Table26789[[#This Row],[1]:[11]])-1)))</f>
        <v/>
      </c>
      <c r="AE22" s="30" t="str" cm="1">
        <f t="array" ref="AE22">IF(Table26789[[#This Row],[7]]="","",Table26789[[#This Row],[Weight]:[Weight]]-(Table26789[[#This Row],[Weight]:[Weight]]*((_xlfn.XMATCH(Table26789[[#This Row],[7]],Table26789[[#This Row],[1]:[11]],0))-1)/(COUNTA(Table26789[[#This Row],[1]:[11]])-COUNTBLANK(Table26789[[#This Row],[1]:[11]])-1)))</f>
        <v/>
      </c>
      <c r="AF22" s="30" t="str" cm="1">
        <f t="array" ref="AF22">IF(Table26789[[#This Row],[8]]="","",Table26789[[#This Row],[Weight]:[Weight]]-(Table26789[[#This Row],[Weight]:[Weight]]*((_xlfn.XMATCH(Table26789[[#This Row],[8]],Table26789[[#This Row],[1]:[11]],0))-1)/(COUNTA(Table26789[[#This Row],[1]:[11]])-COUNTBLANK(Table26789[[#This Row],[1]:[11]])-1)))</f>
        <v/>
      </c>
      <c r="AG22" s="30" t="str" cm="1">
        <f t="array" ref="AG22">IF(Table26789[[#This Row],[9]]="","",Table26789[[#This Row],[Weight]:[Weight]]-(Table26789[[#This Row],[Weight]:[Weight]]*((_xlfn.XMATCH(Table26789[[#This Row],[9]],Table26789[[#This Row],[1]:[11]],0))-1)/(COUNTA(Table26789[[#This Row],[1]:[11]])-COUNTBLANK(Table26789[[#This Row],[1]:[11]])-1)))</f>
        <v/>
      </c>
      <c r="AH22" s="30" t="str" cm="1">
        <f t="array" ref="AH22">IF(Table26789[[#This Row],[10]]="","",Table26789[[#This Row],[Weight]:[Weight]]-(Table26789[[#This Row],[Weight]:[Weight]]*((_xlfn.XMATCH(Table26789[[#This Row],[10]],Table26789[[#This Row],[1]:[11]],0))-1)/(COUNTA(Table26789[[#This Row],[1]:[11]])-COUNTBLANK(Table26789[[#This Row],[1]:[11]])-1)))</f>
        <v/>
      </c>
      <c r="AI22" s="30" t="str" cm="1">
        <f t="array" ref="AI22">IF(Table26789[[#This Row],[11]]="","",Table26789[[#This Row],[Weight]:[Weight]]-(Table26789[[#This Row],[Weight]:[Weight]]*((_xlfn.XMATCH(Table26789[[#This Row],[11]],Table26789[[#This Row],[1]:[11]],0))-1)/(COUNTA(Table26789[[#This Row],[1]:[11]])-COUNTBLANK(Table26789[[#This Row],[1]:[11]])-1)))</f>
        <v/>
      </c>
    </row>
    <row r="23" spans="1:35" ht="108" x14ac:dyDescent="0.2">
      <c r="A23" s="195" t="s">
        <v>328</v>
      </c>
      <c r="B23" s="199" t="s">
        <v>329</v>
      </c>
      <c r="C23" s="199" t="s">
        <v>330</v>
      </c>
      <c r="D23" s="40"/>
      <c r="E23" s="21" t="s">
        <v>55</v>
      </c>
      <c r="F23" s="34" t="s">
        <v>106</v>
      </c>
      <c r="G23" s="35" cm="1">
        <f t="array" ref="G23">_xlfn.IFS(F23="","",F23="No interest",0,F23="Nice to have",1,F23="Useful",2,F23="Important",3,F23="Very important",4,F23="Critical",5,F23="Show stopper",6)</f>
        <v>5</v>
      </c>
      <c r="H23" s="36">
        <f t="shared" si="1"/>
        <v>8.0645161290322578E-3</v>
      </c>
      <c r="I23" s="37" t="s">
        <v>331</v>
      </c>
      <c r="J23" s="37" t="str" cm="1">
        <f t="array" ref="J23">_xlfn.TEXTJOIN(" "&amp;CHAR(10),,TEXT(SUBSTITUTE(Table26789[[#This Row],[12]:[22]],".",","),"0,00%"))</f>
        <v>0,00806451612903226 
0,00%</v>
      </c>
      <c r="K23" s="38" t="s">
        <v>332</v>
      </c>
      <c r="L23" s="39">
        <f>H23-(H23*((MATCH(Table26789[[#This Row],[Evaluators Response (SELECT)]],Table26789[[#This Row],[1]:[11]],0)-1)/(COUNTA(Table26789[[#This Row],[1]:[11]])-COUNTBLANK(Table26789[[#This Row],[1]:[11]])-1)))</f>
        <v>8.0645161290322578E-3</v>
      </c>
      <c r="M23" s="40"/>
      <c r="N23" s="29" t="str" cm="1">
        <f t="array" ref="N23">IFERROR(INDEX(_xlfn.UNIQUE(TRIM(_xlfn.TEXTSPLIT(Table26789[[#This Row],[Selection Options]:[Selection Options]],";"))),,N$11),"")</f>
        <v>(100%) Fully comply with requirement - Daily incremental Back ups are done, encrypted and securely kept offsite</v>
      </c>
      <c r="O23" s="29" t="str" cm="1">
        <f t="array" ref="O23">IFERROR(INDEX(_xlfn.UNIQUE(TRIM(_xlfn.TEXTSPLIT(Table26789[[#This Row],[Selection Options]:[Selection Options]],";"))),,O$11),"")</f>
        <v xml:space="preserve">
(0%) No compliance - No daily incremental back ups.</v>
      </c>
      <c r="P23" s="29" t="str" cm="1">
        <f t="array" ref="P23">IFERROR(INDEX(_xlfn.UNIQUE(TRIM(_xlfn.TEXTSPLIT(Table26789[[#This Row],[Selection Options]:[Selection Options]],";"))),,P$11),"")</f>
        <v/>
      </c>
      <c r="Q23" s="29" t="str" cm="1">
        <f t="array" ref="Q23">IFERROR(INDEX(_xlfn.UNIQUE(TRIM(_xlfn.TEXTSPLIT(Table26789[[#This Row],[Selection Options]:[Selection Options]],";"))),,Q$11),"")</f>
        <v/>
      </c>
      <c r="R23" s="29" t="str" cm="1">
        <f t="array" ref="R23">IFERROR(INDEX(_xlfn.UNIQUE(TRIM(_xlfn.TEXTSPLIT(Table26789[[#This Row],[Selection Options]:[Selection Options]],";"))),,R$11),"")</f>
        <v/>
      </c>
      <c r="S23" s="29" t="str" cm="1">
        <f t="array" ref="S23">IFERROR(INDEX(_xlfn.UNIQUE(TRIM(_xlfn.TEXTSPLIT(Table26789[[#This Row],[Selection Options]:[Selection Options]],";"))),,S$11),"")</f>
        <v/>
      </c>
      <c r="T23" s="29" t="str" cm="1">
        <f t="array" ref="T23">IFERROR(INDEX(_xlfn.UNIQUE(TRIM(_xlfn.TEXTSPLIT(Table26789[[#This Row],[Selection Options]:[Selection Options]],";"))),,T$11),"")</f>
        <v/>
      </c>
      <c r="U23" s="29" t="str" cm="1">
        <f t="array" ref="U23">IFERROR(INDEX(_xlfn.UNIQUE(TRIM(_xlfn.TEXTSPLIT(Table26789[[#This Row],[Selection Options]:[Selection Options]],";"))),,U$11),"")</f>
        <v/>
      </c>
      <c r="V23" s="29" t="str" cm="1">
        <f t="array" ref="V23">IFERROR(INDEX(_xlfn.UNIQUE(TRIM(_xlfn.TEXTSPLIT(Table26789[[#This Row],[Selection Options]:[Selection Options]],";"))),,V$11),"")</f>
        <v/>
      </c>
      <c r="W23" s="29" t="str" cm="1">
        <f t="array" ref="W23">IFERROR(INDEX(_xlfn.UNIQUE(TRIM(_xlfn.TEXTSPLIT(Table26789[[#This Row],[Selection Options]:[Selection Options]],";"))),,W$11),"")</f>
        <v/>
      </c>
      <c r="X23" s="29" t="str" cm="1">
        <f t="array" ref="X23">IFERROR(INDEX(_xlfn.UNIQUE(TRIM(_xlfn.TEXTSPLIT(Table26789[[#This Row],[Selection Options]:[Selection Options]],";"))),,X$11),"")</f>
        <v/>
      </c>
      <c r="Y23" s="30" cm="1">
        <f t="array" ref="Y23">IF(Table26789[[#This Row],[1]]="","",Table26789[[#This Row],[Weight]:[Weight]]-(Table26789[[#This Row],[Weight]:[Weight]]*((_xlfn.XMATCH(Table26789[[#This Row],[1]],Table26789[[#This Row],[1]:[11]],0))-1)/(COUNTA(Table26789[[#This Row],[1]:[11]])-COUNTBLANK(Table26789[[#This Row],[1]:[11]])-1)))</f>
        <v>8.0645161290322578E-3</v>
      </c>
      <c r="Z23" s="30" cm="1">
        <f t="array" ref="Z23">IF(Table26789[[#This Row],[2]]="","",Table26789[[#This Row],[Weight]:[Weight]]-(Table26789[[#This Row],[Weight]:[Weight]]*((_xlfn.XMATCH(Table26789[[#This Row],[2]],Table26789[[#This Row],[1]:[11]],0))-1)/(COUNTA(Table26789[[#This Row],[1]:[11]])-COUNTBLANK(Table26789[[#This Row],[1]:[11]])-1)))</f>
        <v>0</v>
      </c>
      <c r="AA23" s="30" t="str" cm="1">
        <f t="array" ref="AA23">IF(Table26789[[#This Row],[3]]="","",Table26789[[#This Row],[Weight]:[Weight]]-(Table26789[[#This Row],[Weight]:[Weight]]*((_xlfn.XMATCH(Table26789[[#This Row],[3]],Table26789[[#This Row],[1]:[11]],0))-1)/(COUNTA(Table26789[[#This Row],[1]:[11]])-COUNTBLANK(Table26789[[#This Row],[1]:[11]])-1)))</f>
        <v/>
      </c>
      <c r="AB23" s="30" t="str" cm="1">
        <f t="array" ref="AB23">IF(Table26789[[#This Row],[4]]="","",Table26789[[#This Row],[Weight]:[Weight]]-(Table26789[[#This Row],[Weight]:[Weight]]*((_xlfn.XMATCH(Table26789[[#This Row],[4]],Table26789[[#This Row],[1]:[11]],0))-1)/(COUNTA(Table26789[[#This Row],[1]:[11]])-COUNTBLANK(Table26789[[#This Row],[1]:[11]])-1)))</f>
        <v/>
      </c>
      <c r="AC23" s="30" t="str" cm="1">
        <f t="array" ref="AC23">IF(Table26789[[#This Row],[5]]="","",Table26789[[#This Row],[Weight]:[Weight]]-(Table26789[[#This Row],[Weight]:[Weight]]*((_xlfn.XMATCH(Table26789[[#This Row],[5]],Table26789[[#This Row],[1]:[11]],0))-1)/(COUNTA(Table26789[[#This Row],[1]:[11]])-COUNTBLANK(Table26789[[#This Row],[1]:[11]])-1)))</f>
        <v/>
      </c>
      <c r="AD23" s="30" t="str" cm="1">
        <f t="array" ref="AD23">IF(Table26789[[#This Row],[6]]="","",Table26789[[#This Row],[Weight]:[Weight]]-(Table26789[[#This Row],[Weight]:[Weight]]*((_xlfn.XMATCH(Table26789[[#This Row],[6]],Table26789[[#This Row],[1]:[11]],0))-1)/(COUNTA(Table26789[[#This Row],[1]:[11]])-COUNTBLANK(Table26789[[#This Row],[1]:[11]])-1)))</f>
        <v/>
      </c>
      <c r="AE23" s="30" t="str" cm="1">
        <f t="array" ref="AE23">IF(Table26789[[#This Row],[7]]="","",Table26789[[#This Row],[Weight]:[Weight]]-(Table26789[[#This Row],[Weight]:[Weight]]*((_xlfn.XMATCH(Table26789[[#This Row],[7]],Table26789[[#This Row],[1]:[11]],0))-1)/(COUNTA(Table26789[[#This Row],[1]:[11]])-COUNTBLANK(Table26789[[#This Row],[1]:[11]])-1)))</f>
        <v/>
      </c>
      <c r="AF23" s="30" t="str" cm="1">
        <f t="array" ref="AF23">IF(Table26789[[#This Row],[8]]="","",Table26789[[#This Row],[Weight]:[Weight]]-(Table26789[[#This Row],[Weight]:[Weight]]*((_xlfn.XMATCH(Table26789[[#This Row],[8]],Table26789[[#This Row],[1]:[11]],0))-1)/(COUNTA(Table26789[[#This Row],[1]:[11]])-COUNTBLANK(Table26789[[#This Row],[1]:[11]])-1)))</f>
        <v/>
      </c>
      <c r="AG23" s="30" t="str" cm="1">
        <f t="array" ref="AG23">IF(Table26789[[#This Row],[9]]="","",Table26789[[#This Row],[Weight]:[Weight]]-(Table26789[[#This Row],[Weight]:[Weight]]*((_xlfn.XMATCH(Table26789[[#This Row],[9]],Table26789[[#This Row],[1]:[11]],0))-1)/(COUNTA(Table26789[[#This Row],[1]:[11]])-COUNTBLANK(Table26789[[#This Row],[1]:[11]])-1)))</f>
        <v/>
      </c>
      <c r="AH23" s="30" t="str" cm="1">
        <f t="array" ref="AH23">IF(Table26789[[#This Row],[10]]="","",Table26789[[#This Row],[Weight]:[Weight]]-(Table26789[[#This Row],[Weight]:[Weight]]*((_xlfn.XMATCH(Table26789[[#This Row],[10]],Table26789[[#This Row],[1]:[11]],0))-1)/(COUNTA(Table26789[[#This Row],[1]:[11]])-COUNTBLANK(Table26789[[#This Row],[1]:[11]])-1)))</f>
        <v/>
      </c>
      <c r="AI23" s="30" t="str" cm="1">
        <f t="array" ref="AI23">IF(Table26789[[#This Row],[11]]="","",Table26789[[#This Row],[Weight]:[Weight]]-(Table26789[[#This Row],[Weight]:[Weight]]*((_xlfn.XMATCH(Table26789[[#This Row],[11]],Table26789[[#This Row],[1]:[11]],0))-1)/(COUNTA(Table26789[[#This Row],[1]:[11]])-COUNTBLANK(Table26789[[#This Row],[1]:[11]])-1)))</f>
        <v/>
      </c>
    </row>
    <row r="24" spans="1:35" ht="108" x14ac:dyDescent="0.2">
      <c r="A24" s="195" t="s">
        <v>333</v>
      </c>
      <c r="B24" s="199" t="s">
        <v>334</v>
      </c>
      <c r="C24" s="199" t="s">
        <v>335</v>
      </c>
      <c r="D24" s="40"/>
      <c r="E24" s="21" t="s">
        <v>55</v>
      </c>
      <c r="F24" s="34" t="s">
        <v>106</v>
      </c>
      <c r="G24" s="35" cm="1">
        <f t="array" ref="G24">_xlfn.IFS(F24="","",F24="No interest",0,F24="Nice to have",1,F24="Useful",2,F24="Important",3,F24="Very important",4,F24="Critical",5,F24="Show stopper",6)</f>
        <v>5</v>
      </c>
      <c r="H24" s="36">
        <f t="shared" si="1"/>
        <v>8.0645161290322578E-3</v>
      </c>
      <c r="I24" s="37" t="s">
        <v>336</v>
      </c>
      <c r="J24" s="37" t="str" cm="1">
        <f t="array" ref="J24">_xlfn.TEXTJOIN(" "&amp;CHAR(10),,TEXT(SUBSTITUTE(Table26789[[#This Row],[12]:[22]],".",","),"0,00%"))</f>
        <v>0,00806451612903226 
0,00%</v>
      </c>
      <c r="K24" s="38" t="s">
        <v>337</v>
      </c>
      <c r="L24" s="39">
        <f>H24-(H24*((MATCH(Table26789[[#This Row],[Evaluators Response (SELECT)]],Table26789[[#This Row],[1]:[11]],0)-1)/(COUNTA(Table26789[[#This Row],[1]:[11]])-COUNTBLANK(Table26789[[#This Row],[1]:[11]])-1)))</f>
        <v>8.0645161290322578E-3</v>
      </c>
      <c r="M24" s="40"/>
      <c r="N24" s="29" t="str" cm="1">
        <f t="array" ref="N24">IFERROR(INDEX(_xlfn.UNIQUE(TRIM(_xlfn.TEXTSPLIT(Table26789[[#This Row],[Selection Options]:[Selection Options]],";"))),,N$11),"")</f>
        <v>(100%) Fully comply with requirement - Real-time or data synchronisation is employed</v>
      </c>
      <c r="O24" s="29" t="str" cm="1">
        <f t="array" ref="O24">IFERROR(INDEX(_xlfn.UNIQUE(TRIM(_xlfn.TEXTSPLIT(Table26789[[#This Row],[Selection Options]:[Selection Options]],";"))),,O$11),"")</f>
        <v xml:space="preserve">
(0%) No compliance - No real-time or data synchronisation is employed.</v>
      </c>
      <c r="P24" s="29" t="str" cm="1">
        <f t="array" ref="P24">IFERROR(INDEX(_xlfn.UNIQUE(TRIM(_xlfn.TEXTSPLIT(Table26789[[#This Row],[Selection Options]:[Selection Options]],";"))),,P$11),"")</f>
        <v/>
      </c>
      <c r="Q24" s="29" t="str" cm="1">
        <f t="array" ref="Q24">IFERROR(INDEX(_xlfn.UNIQUE(TRIM(_xlfn.TEXTSPLIT(Table26789[[#This Row],[Selection Options]:[Selection Options]],";"))),,Q$11),"")</f>
        <v/>
      </c>
      <c r="R24" s="29" t="str" cm="1">
        <f t="array" ref="R24">IFERROR(INDEX(_xlfn.UNIQUE(TRIM(_xlfn.TEXTSPLIT(Table26789[[#This Row],[Selection Options]:[Selection Options]],";"))),,R$11),"")</f>
        <v/>
      </c>
      <c r="S24" s="29" t="str" cm="1">
        <f t="array" ref="S24">IFERROR(INDEX(_xlfn.UNIQUE(TRIM(_xlfn.TEXTSPLIT(Table26789[[#This Row],[Selection Options]:[Selection Options]],";"))),,S$11),"")</f>
        <v/>
      </c>
      <c r="T24" s="29" t="str" cm="1">
        <f t="array" ref="T24">IFERROR(INDEX(_xlfn.UNIQUE(TRIM(_xlfn.TEXTSPLIT(Table26789[[#This Row],[Selection Options]:[Selection Options]],";"))),,T$11),"")</f>
        <v/>
      </c>
      <c r="U24" s="29" t="str" cm="1">
        <f t="array" ref="U24">IFERROR(INDEX(_xlfn.UNIQUE(TRIM(_xlfn.TEXTSPLIT(Table26789[[#This Row],[Selection Options]:[Selection Options]],";"))),,U$11),"")</f>
        <v/>
      </c>
      <c r="V24" s="29" t="str" cm="1">
        <f t="array" ref="V24">IFERROR(INDEX(_xlfn.UNIQUE(TRIM(_xlfn.TEXTSPLIT(Table26789[[#This Row],[Selection Options]:[Selection Options]],";"))),,V$11),"")</f>
        <v/>
      </c>
      <c r="W24" s="29" t="str" cm="1">
        <f t="array" ref="W24">IFERROR(INDEX(_xlfn.UNIQUE(TRIM(_xlfn.TEXTSPLIT(Table26789[[#This Row],[Selection Options]:[Selection Options]],";"))),,W$11),"")</f>
        <v/>
      </c>
      <c r="X24" s="29" t="str" cm="1">
        <f t="array" ref="X24">IFERROR(INDEX(_xlfn.UNIQUE(TRIM(_xlfn.TEXTSPLIT(Table26789[[#This Row],[Selection Options]:[Selection Options]],";"))),,X$11),"")</f>
        <v/>
      </c>
      <c r="Y24" s="30" cm="1">
        <f t="array" ref="Y24">IF(Table26789[[#This Row],[1]]="","",Table26789[[#This Row],[Weight]:[Weight]]-(Table26789[[#This Row],[Weight]:[Weight]]*((_xlfn.XMATCH(Table26789[[#This Row],[1]],Table26789[[#This Row],[1]:[11]],0))-1)/(COUNTA(Table26789[[#This Row],[1]:[11]])-COUNTBLANK(Table26789[[#This Row],[1]:[11]])-1)))</f>
        <v>8.0645161290322578E-3</v>
      </c>
      <c r="Z24" s="30" cm="1">
        <f t="array" ref="Z24">IF(Table26789[[#This Row],[2]]="","",Table26789[[#This Row],[Weight]:[Weight]]-(Table26789[[#This Row],[Weight]:[Weight]]*((_xlfn.XMATCH(Table26789[[#This Row],[2]],Table26789[[#This Row],[1]:[11]],0))-1)/(COUNTA(Table26789[[#This Row],[1]:[11]])-COUNTBLANK(Table26789[[#This Row],[1]:[11]])-1)))</f>
        <v>0</v>
      </c>
      <c r="AA24" s="30" t="str" cm="1">
        <f t="array" ref="AA24">IF(Table26789[[#This Row],[3]]="","",Table26789[[#This Row],[Weight]:[Weight]]-(Table26789[[#This Row],[Weight]:[Weight]]*((_xlfn.XMATCH(Table26789[[#This Row],[3]],Table26789[[#This Row],[1]:[11]],0))-1)/(COUNTA(Table26789[[#This Row],[1]:[11]])-COUNTBLANK(Table26789[[#This Row],[1]:[11]])-1)))</f>
        <v/>
      </c>
      <c r="AB24" s="30" t="str" cm="1">
        <f t="array" ref="AB24">IF(Table26789[[#This Row],[4]]="","",Table26789[[#This Row],[Weight]:[Weight]]-(Table26789[[#This Row],[Weight]:[Weight]]*((_xlfn.XMATCH(Table26789[[#This Row],[4]],Table26789[[#This Row],[1]:[11]],0))-1)/(COUNTA(Table26789[[#This Row],[1]:[11]])-COUNTBLANK(Table26789[[#This Row],[1]:[11]])-1)))</f>
        <v/>
      </c>
      <c r="AC24" s="30" t="str" cm="1">
        <f t="array" ref="AC24">IF(Table26789[[#This Row],[5]]="","",Table26789[[#This Row],[Weight]:[Weight]]-(Table26789[[#This Row],[Weight]:[Weight]]*((_xlfn.XMATCH(Table26789[[#This Row],[5]],Table26789[[#This Row],[1]:[11]],0))-1)/(COUNTA(Table26789[[#This Row],[1]:[11]])-COUNTBLANK(Table26789[[#This Row],[1]:[11]])-1)))</f>
        <v/>
      </c>
      <c r="AD24" s="30" t="str" cm="1">
        <f t="array" ref="AD24">IF(Table26789[[#This Row],[6]]="","",Table26789[[#This Row],[Weight]:[Weight]]-(Table26789[[#This Row],[Weight]:[Weight]]*((_xlfn.XMATCH(Table26789[[#This Row],[6]],Table26789[[#This Row],[1]:[11]],0))-1)/(COUNTA(Table26789[[#This Row],[1]:[11]])-COUNTBLANK(Table26789[[#This Row],[1]:[11]])-1)))</f>
        <v/>
      </c>
      <c r="AE24" s="30" t="str" cm="1">
        <f t="array" ref="AE24">IF(Table26789[[#This Row],[7]]="","",Table26789[[#This Row],[Weight]:[Weight]]-(Table26789[[#This Row],[Weight]:[Weight]]*((_xlfn.XMATCH(Table26789[[#This Row],[7]],Table26789[[#This Row],[1]:[11]],0))-1)/(COUNTA(Table26789[[#This Row],[1]:[11]])-COUNTBLANK(Table26789[[#This Row],[1]:[11]])-1)))</f>
        <v/>
      </c>
      <c r="AF24" s="30" t="str" cm="1">
        <f t="array" ref="AF24">IF(Table26789[[#This Row],[8]]="","",Table26789[[#This Row],[Weight]:[Weight]]-(Table26789[[#This Row],[Weight]:[Weight]]*((_xlfn.XMATCH(Table26789[[#This Row],[8]],Table26789[[#This Row],[1]:[11]],0))-1)/(COUNTA(Table26789[[#This Row],[1]:[11]])-COUNTBLANK(Table26789[[#This Row],[1]:[11]])-1)))</f>
        <v/>
      </c>
      <c r="AG24" s="30" t="str" cm="1">
        <f t="array" ref="AG24">IF(Table26789[[#This Row],[9]]="","",Table26789[[#This Row],[Weight]:[Weight]]-(Table26789[[#This Row],[Weight]:[Weight]]*((_xlfn.XMATCH(Table26789[[#This Row],[9]],Table26789[[#This Row],[1]:[11]],0))-1)/(COUNTA(Table26789[[#This Row],[1]:[11]])-COUNTBLANK(Table26789[[#This Row],[1]:[11]])-1)))</f>
        <v/>
      </c>
      <c r="AH24" s="30" t="str" cm="1">
        <f t="array" ref="AH24">IF(Table26789[[#This Row],[10]]="","",Table26789[[#This Row],[Weight]:[Weight]]-(Table26789[[#This Row],[Weight]:[Weight]]*((_xlfn.XMATCH(Table26789[[#This Row],[10]],Table26789[[#This Row],[1]:[11]],0))-1)/(COUNTA(Table26789[[#This Row],[1]:[11]])-COUNTBLANK(Table26789[[#This Row],[1]:[11]])-1)))</f>
        <v/>
      </c>
      <c r="AI24" s="30" t="str" cm="1">
        <f t="array" ref="AI24">IF(Table26789[[#This Row],[11]]="","",Table26789[[#This Row],[Weight]:[Weight]]-(Table26789[[#This Row],[Weight]:[Weight]]*((_xlfn.XMATCH(Table26789[[#This Row],[11]],Table26789[[#This Row],[1]:[11]],0))-1)/(COUNTA(Table26789[[#This Row],[1]:[11]])-COUNTBLANK(Table26789[[#This Row],[1]:[11]])-1)))</f>
        <v/>
      </c>
    </row>
    <row r="25" spans="1:35" ht="132" x14ac:dyDescent="0.2">
      <c r="A25" s="195" t="s">
        <v>338</v>
      </c>
      <c r="B25" s="199" t="s">
        <v>339</v>
      </c>
      <c r="C25" s="199" t="s">
        <v>340</v>
      </c>
      <c r="D25" s="40"/>
      <c r="E25" s="21" t="s">
        <v>55</v>
      </c>
      <c r="F25" s="34" t="s">
        <v>106</v>
      </c>
      <c r="G25" s="35" cm="1">
        <f t="array" ref="G25">_xlfn.IFS(F25="","",F25="No interest",0,F25="Nice to have",1,F25="Useful",2,F25="Important",3,F25="Very important",4,F25="Critical",5,F25="Show stopper",6)</f>
        <v>5</v>
      </c>
      <c r="H25" s="36">
        <f t="shared" si="1"/>
        <v>8.0645161290322578E-3</v>
      </c>
      <c r="I25" s="37" t="s">
        <v>341</v>
      </c>
      <c r="J25" s="37" t="str" cm="1">
        <f t="array" ref="J25">_xlfn.TEXTJOIN(" "&amp;CHAR(10),,TEXT(SUBSTITUTE(Table26789[[#This Row],[12]:[22]],".",","),"0,00%"))</f>
        <v>0,00806451612903226 
0,00%</v>
      </c>
      <c r="K25" s="38" t="s">
        <v>342</v>
      </c>
      <c r="L25" s="39">
        <f>H25-(H25*((MATCH(Table26789[[#This Row],[Evaluators Response (SELECT)]],Table26789[[#This Row],[1]:[11]],0)-1)/(COUNTA(Table26789[[#This Row],[1]:[11]])-COUNTBLANK(Table26789[[#This Row],[1]:[11]])-1)))</f>
        <v>8.0645161290322578E-3</v>
      </c>
      <c r="M25" s="40"/>
      <c r="N25" s="29" t="str" cm="1">
        <f t="array" ref="N25">IFERROR(INDEX(_xlfn.UNIQUE(TRIM(_xlfn.TEXTSPLIT(Table26789[[#This Row],[Selection Options]:[Selection Options]],";"))),,N$11),"")</f>
        <v xml:space="preserve">
(100%) DRP and Back up Plan is defined, annually tested and IRM is in place and part of the SLA/MSA</v>
      </c>
      <c r="O25" s="29" t="str" cm="1">
        <f t="array" ref="O25">IFERROR(INDEX(_xlfn.UNIQUE(TRIM(_xlfn.TEXTSPLIT(Table26789[[#This Row],[Selection Options]:[Selection Options]],";"))),,O$11),"")</f>
        <v xml:space="preserve">
(0%) DRP, Back up Restore Plan, IRM is not in place and not tested.</v>
      </c>
      <c r="P25" s="29" t="str" cm="1">
        <f t="array" ref="P25">IFERROR(INDEX(_xlfn.UNIQUE(TRIM(_xlfn.TEXTSPLIT(Table26789[[#This Row],[Selection Options]:[Selection Options]],";"))),,P$11),"")</f>
        <v/>
      </c>
      <c r="Q25" s="29" t="str" cm="1">
        <f t="array" ref="Q25">IFERROR(INDEX(_xlfn.UNIQUE(TRIM(_xlfn.TEXTSPLIT(Table26789[[#This Row],[Selection Options]:[Selection Options]],";"))),,Q$11),"")</f>
        <v/>
      </c>
      <c r="R25" s="29" t="str" cm="1">
        <f t="array" ref="R25">IFERROR(INDEX(_xlfn.UNIQUE(TRIM(_xlfn.TEXTSPLIT(Table26789[[#This Row],[Selection Options]:[Selection Options]],";"))),,R$11),"")</f>
        <v/>
      </c>
      <c r="S25" s="29" t="str" cm="1">
        <f t="array" ref="S25">IFERROR(INDEX(_xlfn.UNIQUE(TRIM(_xlfn.TEXTSPLIT(Table26789[[#This Row],[Selection Options]:[Selection Options]],";"))),,S$11),"")</f>
        <v/>
      </c>
      <c r="T25" s="29" t="str" cm="1">
        <f t="array" ref="T25">IFERROR(INDEX(_xlfn.UNIQUE(TRIM(_xlfn.TEXTSPLIT(Table26789[[#This Row],[Selection Options]:[Selection Options]],";"))),,T$11),"")</f>
        <v/>
      </c>
      <c r="U25" s="29" t="str" cm="1">
        <f t="array" ref="U25">IFERROR(INDEX(_xlfn.UNIQUE(TRIM(_xlfn.TEXTSPLIT(Table26789[[#This Row],[Selection Options]:[Selection Options]],";"))),,U$11),"")</f>
        <v/>
      </c>
      <c r="V25" s="29" t="str" cm="1">
        <f t="array" ref="V25">IFERROR(INDEX(_xlfn.UNIQUE(TRIM(_xlfn.TEXTSPLIT(Table26789[[#This Row],[Selection Options]:[Selection Options]],";"))),,V$11),"")</f>
        <v/>
      </c>
      <c r="W25" s="29" t="str" cm="1">
        <f t="array" ref="W25">IFERROR(INDEX(_xlfn.UNIQUE(TRIM(_xlfn.TEXTSPLIT(Table26789[[#This Row],[Selection Options]:[Selection Options]],";"))),,W$11),"")</f>
        <v/>
      </c>
      <c r="X25" s="29" t="str" cm="1">
        <f t="array" ref="X25">IFERROR(INDEX(_xlfn.UNIQUE(TRIM(_xlfn.TEXTSPLIT(Table26789[[#This Row],[Selection Options]:[Selection Options]],";"))),,X$11),"")</f>
        <v/>
      </c>
      <c r="Y25" s="30" cm="1">
        <f t="array" ref="Y25">IF(Table26789[[#This Row],[1]]="","",Table26789[[#This Row],[Weight]:[Weight]]-(Table26789[[#This Row],[Weight]:[Weight]]*((_xlfn.XMATCH(Table26789[[#This Row],[1]],Table26789[[#This Row],[1]:[11]],0))-1)/(COUNTA(Table26789[[#This Row],[1]:[11]])-COUNTBLANK(Table26789[[#This Row],[1]:[11]])-1)))</f>
        <v>8.0645161290322578E-3</v>
      </c>
      <c r="Z25" s="30" cm="1">
        <f t="array" ref="Z25">IF(Table26789[[#This Row],[2]]="","",Table26789[[#This Row],[Weight]:[Weight]]-(Table26789[[#This Row],[Weight]:[Weight]]*((_xlfn.XMATCH(Table26789[[#This Row],[2]],Table26789[[#This Row],[1]:[11]],0))-1)/(COUNTA(Table26789[[#This Row],[1]:[11]])-COUNTBLANK(Table26789[[#This Row],[1]:[11]])-1)))</f>
        <v>0</v>
      </c>
      <c r="AA25" s="30" t="str" cm="1">
        <f t="array" ref="AA25">IF(Table26789[[#This Row],[3]]="","",Table26789[[#This Row],[Weight]:[Weight]]-(Table26789[[#This Row],[Weight]:[Weight]]*((_xlfn.XMATCH(Table26789[[#This Row],[3]],Table26789[[#This Row],[1]:[11]],0))-1)/(COUNTA(Table26789[[#This Row],[1]:[11]])-COUNTBLANK(Table26789[[#This Row],[1]:[11]])-1)))</f>
        <v/>
      </c>
      <c r="AB25" s="30" t="str" cm="1">
        <f t="array" ref="AB25">IF(Table26789[[#This Row],[4]]="","",Table26789[[#This Row],[Weight]:[Weight]]-(Table26789[[#This Row],[Weight]:[Weight]]*((_xlfn.XMATCH(Table26789[[#This Row],[4]],Table26789[[#This Row],[1]:[11]],0))-1)/(COUNTA(Table26789[[#This Row],[1]:[11]])-COUNTBLANK(Table26789[[#This Row],[1]:[11]])-1)))</f>
        <v/>
      </c>
      <c r="AC25" s="30" t="str" cm="1">
        <f t="array" ref="AC25">IF(Table26789[[#This Row],[5]]="","",Table26789[[#This Row],[Weight]:[Weight]]-(Table26789[[#This Row],[Weight]:[Weight]]*((_xlfn.XMATCH(Table26789[[#This Row],[5]],Table26789[[#This Row],[1]:[11]],0))-1)/(COUNTA(Table26789[[#This Row],[1]:[11]])-COUNTBLANK(Table26789[[#This Row],[1]:[11]])-1)))</f>
        <v/>
      </c>
      <c r="AD25" s="30" t="str" cm="1">
        <f t="array" ref="AD25">IF(Table26789[[#This Row],[6]]="","",Table26789[[#This Row],[Weight]:[Weight]]-(Table26789[[#This Row],[Weight]:[Weight]]*((_xlfn.XMATCH(Table26789[[#This Row],[6]],Table26789[[#This Row],[1]:[11]],0))-1)/(COUNTA(Table26789[[#This Row],[1]:[11]])-COUNTBLANK(Table26789[[#This Row],[1]:[11]])-1)))</f>
        <v/>
      </c>
      <c r="AE25" s="30" t="str" cm="1">
        <f t="array" ref="AE25">IF(Table26789[[#This Row],[7]]="","",Table26789[[#This Row],[Weight]:[Weight]]-(Table26789[[#This Row],[Weight]:[Weight]]*((_xlfn.XMATCH(Table26789[[#This Row],[7]],Table26789[[#This Row],[1]:[11]],0))-1)/(COUNTA(Table26789[[#This Row],[1]:[11]])-COUNTBLANK(Table26789[[#This Row],[1]:[11]])-1)))</f>
        <v/>
      </c>
      <c r="AF25" s="30" t="str" cm="1">
        <f t="array" ref="AF25">IF(Table26789[[#This Row],[8]]="","",Table26789[[#This Row],[Weight]:[Weight]]-(Table26789[[#This Row],[Weight]:[Weight]]*((_xlfn.XMATCH(Table26789[[#This Row],[8]],Table26789[[#This Row],[1]:[11]],0))-1)/(COUNTA(Table26789[[#This Row],[1]:[11]])-COUNTBLANK(Table26789[[#This Row],[1]:[11]])-1)))</f>
        <v/>
      </c>
      <c r="AG25" s="30" t="str" cm="1">
        <f t="array" ref="AG25">IF(Table26789[[#This Row],[9]]="","",Table26789[[#This Row],[Weight]:[Weight]]-(Table26789[[#This Row],[Weight]:[Weight]]*((_xlfn.XMATCH(Table26789[[#This Row],[9]],Table26789[[#This Row],[1]:[11]],0))-1)/(COUNTA(Table26789[[#This Row],[1]:[11]])-COUNTBLANK(Table26789[[#This Row],[1]:[11]])-1)))</f>
        <v/>
      </c>
      <c r="AH25" s="30" t="str" cm="1">
        <f t="array" ref="AH25">IF(Table26789[[#This Row],[10]]="","",Table26789[[#This Row],[Weight]:[Weight]]-(Table26789[[#This Row],[Weight]:[Weight]]*((_xlfn.XMATCH(Table26789[[#This Row],[10]],Table26789[[#This Row],[1]:[11]],0))-1)/(COUNTA(Table26789[[#This Row],[1]:[11]])-COUNTBLANK(Table26789[[#This Row],[1]:[11]])-1)))</f>
        <v/>
      </c>
      <c r="AI25" s="30" t="str" cm="1">
        <f t="array" ref="AI25">IF(Table26789[[#This Row],[11]]="","",Table26789[[#This Row],[Weight]:[Weight]]-(Table26789[[#This Row],[Weight]:[Weight]]*((_xlfn.XMATCH(Table26789[[#This Row],[11]],Table26789[[#This Row],[1]:[11]],0))-1)/(COUNTA(Table26789[[#This Row],[1]:[11]])-COUNTBLANK(Table26789[[#This Row],[1]:[11]])-1)))</f>
        <v/>
      </c>
    </row>
    <row r="26" spans="1:35" ht="204" x14ac:dyDescent="0.2">
      <c r="A26" s="195" t="s">
        <v>343</v>
      </c>
      <c r="B26" s="199" t="s">
        <v>344</v>
      </c>
      <c r="C26" s="199" t="s">
        <v>345</v>
      </c>
      <c r="D26" s="40"/>
      <c r="E26" s="21" t="s">
        <v>55</v>
      </c>
      <c r="F26" s="34" t="s">
        <v>106</v>
      </c>
      <c r="G26" s="35" cm="1">
        <f t="array" ref="G26">_xlfn.IFS(F26="","",F26="No interest",0,F26="Nice to have",1,F26="Useful",2,F26="Important",3,F26="Very important",4,F26="Critical",5,F26="Show stopper",6)</f>
        <v>5</v>
      </c>
      <c r="H26" s="36">
        <f t="shared" si="1"/>
        <v>8.0645161290322578E-3</v>
      </c>
      <c r="I26" s="37" t="s">
        <v>346</v>
      </c>
      <c r="J26" s="37" t="str" cm="1">
        <f t="array" ref="J26">_xlfn.TEXTJOIN(" "&amp;CHAR(10),,TEXT(SUBSTITUTE(Table26789[[#This Row],[12]:[22]],".",","),"0,00%"))</f>
        <v>0,00806451612903226 
0,00%</v>
      </c>
      <c r="K26" s="38" t="s">
        <v>347</v>
      </c>
      <c r="L26" s="39">
        <f>H26-(H26*((MATCH(Table26789[[#This Row],[Evaluators Response (SELECT)]],Table26789[[#This Row],[1]:[11]],0)-1)/(COUNTA(Table26789[[#This Row],[1]:[11]])-COUNTBLANK(Table26789[[#This Row],[1]:[11]])-1)))</f>
        <v>8.0645161290322578E-3</v>
      </c>
      <c r="M26" s="40"/>
      <c r="N26" s="29" t="str" cm="1">
        <f t="array" ref="N26">IFERROR(INDEX(_xlfn.UNIQUE(TRIM(_xlfn.TEXTSPLIT(Table26789[[#This Row],[Selection Options]:[Selection Options]],";"))),,N$11),"")</f>
        <v>(100%) Fully Compliant - Patch management process is defined, software updates and patches are tested on nonproduction prior environment production</v>
      </c>
      <c r="O26" s="29" t="str" cm="1">
        <f t="array" ref="O26">IFERROR(INDEX(_xlfn.UNIQUE(TRIM(_xlfn.TEXTSPLIT(Table26789[[#This Row],[Selection Options]:[Selection Options]],";"))),,O$11),"")</f>
        <v xml:space="preserve">
(0%) No Compliance - No patch management process is defined, software updates and patches are tested on nonproduction environment production.</v>
      </c>
      <c r="P26" s="29" t="str" cm="1">
        <f t="array" ref="P26">IFERROR(INDEX(_xlfn.UNIQUE(TRIM(_xlfn.TEXTSPLIT(Table26789[[#This Row],[Selection Options]:[Selection Options]],";"))),,P$11),"")</f>
        <v/>
      </c>
      <c r="Q26" s="29" t="str" cm="1">
        <f t="array" ref="Q26">IFERROR(INDEX(_xlfn.UNIQUE(TRIM(_xlfn.TEXTSPLIT(Table26789[[#This Row],[Selection Options]:[Selection Options]],";"))),,Q$11),"")</f>
        <v/>
      </c>
      <c r="R26" s="29" t="str" cm="1">
        <f t="array" ref="R26">IFERROR(INDEX(_xlfn.UNIQUE(TRIM(_xlfn.TEXTSPLIT(Table26789[[#This Row],[Selection Options]:[Selection Options]],";"))),,R$11),"")</f>
        <v/>
      </c>
      <c r="S26" s="29" t="str" cm="1">
        <f t="array" ref="S26">IFERROR(INDEX(_xlfn.UNIQUE(TRIM(_xlfn.TEXTSPLIT(Table26789[[#This Row],[Selection Options]:[Selection Options]],";"))),,S$11),"")</f>
        <v/>
      </c>
      <c r="T26" s="29" t="str" cm="1">
        <f t="array" ref="T26">IFERROR(INDEX(_xlfn.UNIQUE(TRIM(_xlfn.TEXTSPLIT(Table26789[[#This Row],[Selection Options]:[Selection Options]],";"))),,T$11),"")</f>
        <v/>
      </c>
      <c r="U26" s="29" t="str" cm="1">
        <f t="array" ref="U26">IFERROR(INDEX(_xlfn.UNIQUE(TRIM(_xlfn.TEXTSPLIT(Table26789[[#This Row],[Selection Options]:[Selection Options]],";"))),,U$11),"")</f>
        <v/>
      </c>
      <c r="V26" s="29" t="str" cm="1">
        <f t="array" ref="V26">IFERROR(INDEX(_xlfn.UNIQUE(TRIM(_xlfn.TEXTSPLIT(Table26789[[#This Row],[Selection Options]:[Selection Options]],";"))),,V$11),"")</f>
        <v/>
      </c>
      <c r="W26" s="29" t="str" cm="1">
        <f t="array" ref="W26">IFERROR(INDEX(_xlfn.UNIQUE(TRIM(_xlfn.TEXTSPLIT(Table26789[[#This Row],[Selection Options]:[Selection Options]],";"))),,W$11),"")</f>
        <v/>
      </c>
      <c r="X26" s="29" t="str" cm="1">
        <f t="array" ref="X26">IFERROR(INDEX(_xlfn.UNIQUE(TRIM(_xlfn.TEXTSPLIT(Table26789[[#This Row],[Selection Options]:[Selection Options]],";"))),,X$11),"")</f>
        <v/>
      </c>
      <c r="Y26" s="30" cm="1">
        <f t="array" ref="Y26">IF(Table26789[[#This Row],[1]]="","",Table26789[[#This Row],[Weight]:[Weight]]-(Table26789[[#This Row],[Weight]:[Weight]]*((_xlfn.XMATCH(Table26789[[#This Row],[1]],Table26789[[#This Row],[1]:[11]],0))-1)/(COUNTA(Table26789[[#This Row],[1]:[11]])-COUNTBLANK(Table26789[[#This Row],[1]:[11]])-1)))</f>
        <v>8.0645161290322578E-3</v>
      </c>
      <c r="Z26" s="30" cm="1">
        <f t="array" ref="Z26">IF(Table26789[[#This Row],[2]]="","",Table26789[[#This Row],[Weight]:[Weight]]-(Table26789[[#This Row],[Weight]:[Weight]]*((_xlfn.XMATCH(Table26789[[#This Row],[2]],Table26789[[#This Row],[1]:[11]],0))-1)/(COUNTA(Table26789[[#This Row],[1]:[11]])-COUNTBLANK(Table26789[[#This Row],[1]:[11]])-1)))</f>
        <v>0</v>
      </c>
      <c r="AA26" s="30" t="str" cm="1">
        <f t="array" ref="AA26">IF(Table26789[[#This Row],[3]]="","",Table26789[[#This Row],[Weight]:[Weight]]-(Table26789[[#This Row],[Weight]:[Weight]]*((_xlfn.XMATCH(Table26789[[#This Row],[3]],Table26789[[#This Row],[1]:[11]],0))-1)/(COUNTA(Table26789[[#This Row],[1]:[11]])-COUNTBLANK(Table26789[[#This Row],[1]:[11]])-1)))</f>
        <v/>
      </c>
      <c r="AB26" s="30" t="str" cm="1">
        <f t="array" ref="AB26">IF(Table26789[[#This Row],[4]]="","",Table26789[[#This Row],[Weight]:[Weight]]-(Table26789[[#This Row],[Weight]:[Weight]]*((_xlfn.XMATCH(Table26789[[#This Row],[4]],Table26789[[#This Row],[1]:[11]],0))-1)/(COUNTA(Table26789[[#This Row],[1]:[11]])-COUNTBLANK(Table26789[[#This Row],[1]:[11]])-1)))</f>
        <v/>
      </c>
      <c r="AC26" s="30" t="str" cm="1">
        <f t="array" ref="AC26">IF(Table26789[[#This Row],[5]]="","",Table26789[[#This Row],[Weight]:[Weight]]-(Table26789[[#This Row],[Weight]:[Weight]]*((_xlfn.XMATCH(Table26789[[#This Row],[5]],Table26789[[#This Row],[1]:[11]],0))-1)/(COUNTA(Table26789[[#This Row],[1]:[11]])-COUNTBLANK(Table26789[[#This Row],[1]:[11]])-1)))</f>
        <v/>
      </c>
      <c r="AD26" s="30" t="str" cm="1">
        <f t="array" ref="AD26">IF(Table26789[[#This Row],[6]]="","",Table26789[[#This Row],[Weight]:[Weight]]-(Table26789[[#This Row],[Weight]:[Weight]]*((_xlfn.XMATCH(Table26789[[#This Row],[6]],Table26789[[#This Row],[1]:[11]],0))-1)/(COUNTA(Table26789[[#This Row],[1]:[11]])-COUNTBLANK(Table26789[[#This Row],[1]:[11]])-1)))</f>
        <v/>
      </c>
      <c r="AE26" s="30" t="str" cm="1">
        <f t="array" ref="AE26">IF(Table26789[[#This Row],[7]]="","",Table26789[[#This Row],[Weight]:[Weight]]-(Table26789[[#This Row],[Weight]:[Weight]]*((_xlfn.XMATCH(Table26789[[#This Row],[7]],Table26789[[#This Row],[1]:[11]],0))-1)/(COUNTA(Table26789[[#This Row],[1]:[11]])-COUNTBLANK(Table26789[[#This Row],[1]:[11]])-1)))</f>
        <v/>
      </c>
      <c r="AF26" s="30" t="str" cm="1">
        <f t="array" ref="AF26">IF(Table26789[[#This Row],[8]]="","",Table26789[[#This Row],[Weight]:[Weight]]-(Table26789[[#This Row],[Weight]:[Weight]]*((_xlfn.XMATCH(Table26789[[#This Row],[8]],Table26789[[#This Row],[1]:[11]],0))-1)/(COUNTA(Table26789[[#This Row],[1]:[11]])-COUNTBLANK(Table26789[[#This Row],[1]:[11]])-1)))</f>
        <v/>
      </c>
      <c r="AG26" s="30" t="str" cm="1">
        <f t="array" ref="AG26">IF(Table26789[[#This Row],[9]]="","",Table26789[[#This Row],[Weight]:[Weight]]-(Table26789[[#This Row],[Weight]:[Weight]]*((_xlfn.XMATCH(Table26789[[#This Row],[9]],Table26789[[#This Row],[1]:[11]],0))-1)/(COUNTA(Table26789[[#This Row],[1]:[11]])-COUNTBLANK(Table26789[[#This Row],[1]:[11]])-1)))</f>
        <v/>
      </c>
      <c r="AH26" s="30" t="str" cm="1">
        <f t="array" ref="AH26">IF(Table26789[[#This Row],[10]]="","",Table26789[[#This Row],[Weight]:[Weight]]-(Table26789[[#This Row],[Weight]:[Weight]]*((_xlfn.XMATCH(Table26789[[#This Row],[10]],Table26789[[#This Row],[1]:[11]],0))-1)/(COUNTA(Table26789[[#This Row],[1]:[11]])-COUNTBLANK(Table26789[[#This Row],[1]:[11]])-1)))</f>
        <v/>
      </c>
      <c r="AI26" s="30" t="str" cm="1">
        <f t="array" ref="AI26">IF(Table26789[[#This Row],[11]]="","",Table26789[[#This Row],[Weight]:[Weight]]-(Table26789[[#This Row],[Weight]:[Weight]]*((_xlfn.XMATCH(Table26789[[#This Row],[11]],Table26789[[#This Row],[1]:[11]],0))-1)/(COUNTA(Table26789[[#This Row],[1]:[11]])-COUNTBLANK(Table26789[[#This Row],[1]:[11]])-1)))</f>
        <v/>
      </c>
    </row>
    <row r="27" spans="1:35" ht="120" x14ac:dyDescent="0.2">
      <c r="A27" s="195" t="s">
        <v>348</v>
      </c>
      <c r="B27" s="202" t="s">
        <v>349</v>
      </c>
      <c r="C27" s="199" t="s">
        <v>350</v>
      </c>
      <c r="D27" s="28"/>
      <c r="E27" s="21" t="s">
        <v>55</v>
      </c>
      <c r="F27" s="22" t="s">
        <v>106</v>
      </c>
      <c r="G27" s="23" cm="1">
        <f t="array" ref="G27">_xlfn.IFS(F27="","",F27="No interest",0,F27="Nice to have",1,F27="Useful",2,F27="Important",3,F27="Very important",4,F27="Critical",5,F27="Show stopper",6)</f>
        <v>5</v>
      </c>
      <c r="H27" s="24">
        <f t="shared" si="1"/>
        <v>8.0645161290322578E-3</v>
      </c>
      <c r="I27" s="25" t="s">
        <v>351</v>
      </c>
      <c r="J27" s="37" t="str" cm="1">
        <f t="array" ref="J27">_xlfn.TEXTJOIN(" "&amp;CHAR(10),,TEXT(SUBSTITUTE(Table26789[[#This Row],[12]:[22]],".",","),"0,00%"))</f>
        <v>0,00806451612903226 
0,00%</v>
      </c>
      <c r="K27" s="26" t="s">
        <v>352</v>
      </c>
      <c r="L27" s="27">
        <f>H27-(H27*((MATCH(Table26789[[#This Row],[Evaluators Response (SELECT)]],Table26789[[#This Row],[1]:[11]],0)-1)/(COUNTA(Table26789[[#This Row],[1]:[11]])-COUNTBLANK(Table26789[[#This Row],[1]:[11]])-1)))</f>
        <v>8.0645161290322578E-3</v>
      </c>
      <c r="M27" s="28"/>
      <c r="N27" s="29" t="str" cm="1">
        <f t="array" ref="N27">IFERROR(INDEX(_xlfn.UNIQUE(TRIM(_xlfn.TEXTSPLIT(Table26789[[#This Row],[Selection Options]:[Selection Options]],";"))),,N$11),"")</f>
        <v>(100%) Fully comply with requirement - The Tenderer does perform SAST, DAST and Penetration Test (Test Results are required)</v>
      </c>
      <c r="O27" s="29" t="str" cm="1">
        <f t="array" ref="O27">IFERROR(INDEX(_xlfn.UNIQUE(TRIM(_xlfn.TEXTSPLIT(Table26789[[#This Row],[Selection Options]:[Selection Options]],";"))),,O$11),"")</f>
        <v xml:space="preserve">
(0%) No compliance - The Tenderer does not perform SAST, DAST and Penetration Test.</v>
      </c>
      <c r="P27" s="29" t="str" cm="1">
        <f t="array" ref="P27">IFERROR(INDEX(_xlfn.UNIQUE(TRIM(_xlfn.TEXTSPLIT(Table26789[[#This Row],[Selection Options]:[Selection Options]],";"))),,P$11),"")</f>
        <v/>
      </c>
      <c r="Q27" s="29" t="str" cm="1">
        <f t="array" ref="Q27">IFERROR(INDEX(_xlfn.UNIQUE(TRIM(_xlfn.TEXTSPLIT(Table26789[[#This Row],[Selection Options]:[Selection Options]],";"))),,Q$11),"")</f>
        <v/>
      </c>
      <c r="R27" s="29" t="str" cm="1">
        <f t="array" ref="R27">IFERROR(INDEX(_xlfn.UNIQUE(TRIM(_xlfn.TEXTSPLIT(Table26789[[#This Row],[Selection Options]:[Selection Options]],";"))),,R$11),"")</f>
        <v/>
      </c>
      <c r="S27" s="29" t="str" cm="1">
        <f t="array" ref="S27">IFERROR(INDEX(_xlfn.UNIQUE(TRIM(_xlfn.TEXTSPLIT(Table26789[[#This Row],[Selection Options]:[Selection Options]],";"))),,S$11),"")</f>
        <v/>
      </c>
      <c r="T27" s="29" t="str" cm="1">
        <f t="array" ref="T27">IFERROR(INDEX(_xlfn.UNIQUE(TRIM(_xlfn.TEXTSPLIT(Table26789[[#This Row],[Selection Options]:[Selection Options]],";"))),,T$11),"")</f>
        <v/>
      </c>
      <c r="U27" s="29" t="str" cm="1">
        <f t="array" ref="U27">IFERROR(INDEX(_xlfn.UNIQUE(TRIM(_xlfn.TEXTSPLIT(Table26789[[#This Row],[Selection Options]:[Selection Options]],";"))),,U$11),"")</f>
        <v/>
      </c>
      <c r="V27" s="29" t="str" cm="1">
        <f t="array" ref="V27">IFERROR(INDEX(_xlfn.UNIQUE(TRIM(_xlfn.TEXTSPLIT(Table26789[[#This Row],[Selection Options]:[Selection Options]],";"))),,V$11),"")</f>
        <v/>
      </c>
      <c r="W27" s="29" t="str" cm="1">
        <f t="array" ref="W27">IFERROR(INDEX(_xlfn.UNIQUE(TRIM(_xlfn.TEXTSPLIT(Table26789[[#This Row],[Selection Options]:[Selection Options]],";"))),,W$11),"")</f>
        <v/>
      </c>
      <c r="X27" s="29" t="str" cm="1">
        <f t="array" ref="X27">IFERROR(INDEX(_xlfn.UNIQUE(TRIM(_xlfn.TEXTSPLIT(Table26789[[#This Row],[Selection Options]:[Selection Options]],";"))),,X$11),"")</f>
        <v/>
      </c>
      <c r="Y27" s="30" cm="1">
        <f t="array" ref="Y27">IF(Table26789[[#This Row],[1]]="","",Table26789[[#This Row],[Weight]:[Weight]]-(Table26789[[#This Row],[Weight]:[Weight]]*((_xlfn.XMATCH(Table26789[[#This Row],[1]],Table26789[[#This Row],[1]:[11]],0))-1)/(COUNTA(Table26789[[#This Row],[1]:[11]])-COUNTBLANK(Table26789[[#This Row],[1]:[11]])-1)))</f>
        <v>8.0645161290322578E-3</v>
      </c>
      <c r="Z27" s="30" cm="1">
        <f t="array" ref="Z27">IF(Table26789[[#This Row],[2]]="","",Table26789[[#This Row],[Weight]:[Weight]]-(Table26789[[#This Row],[Weight]:[Weight]]*((_xlfn.XMATCH(Table26789[[#This Row],[2]],Table26789[[#This Row],[1]:[11]],0))-1)/(COUNTA(Table26789[[#This Row],[1]:[11]])-COUNTBLANK(Table26789[[#This Row],[1]:[11]])-1)))</f>
        <v>0</v>
      </c>
      <c r="AA27" s="30" t="str" cm="1">
        <f t="array" ref="AA27">IF(Table26789[[#This Row],[3]]="","",Table26789[[#This Row],[Weight]:[Weight]]-(Table26789[[#This Row],[Weight]:[Weight]]*((_xlfn.XMATCH(Table26789[[#This Row],[3]],Table26789[[#This Row],[1]:[11]],0))-1)/(COUNTA(Table26789[[#This Row],[1]:[11]])-COUNTBLANK(Table26789[[#This Row],[1]:[11]])-1)))</f>
        <v/>
      </c>
      <c r="AB27" s="30" t="str" cm="1">
        <f t="array" ref="AB27">IF(Table26789[[#This Row],[4]]="","",Table26789[[#This Row],[Weight]:[Weight]]-(Table26789[[#This Row],[Weight]:[Weight]]*((_xlfn.XMATCH(Table26789[[#This Row],[4]],Table26789[[#This Row],[1]:[11]],0))-1)/(COUNTA(Table26789[[#This Row],[1]:[11]])-COUNTBLANK(Table26789[[#This Row],[1]:[11]])-1)))</f>
        <v/>
      </c>
      <c r="AC27" s="30" t="str" cm="1">
        <f t="array" ref="AC27">IF(Table26789[[#This Row],[5]]="","",Table26789[[#This Row],[Weight]:[Weight]]-(Table26789[[#This Row],[Weight]:[Weight]]*((_xlfn.XMATCH(Table26789[[#This Row],[5]],Table26789[[#This Row],[1]:[11]],0))-1)/(COUNTA(Table26789[[#This Row],[1]:[11]])-COUNTBLANK(Table26789[[#This Row],[1]:[11]])-1)))</f>
        <v/>
      </c>
      <c r="AD27" s="30" t="str" cm="1">
        <f t="array" ref="AD27">IF(Table26789[[#This Row],[6]]="","",Table26789[[#This Row],[Weight]:[Weight]]-(Table26789[[#This Row],[Weight]:[Weight]]*((_xlfn.XMATCH(Table26789[[#This Row],[6]],Table26789[[#This Row],[1]:[11]],0))-1)/(COUNTA(Table26789[[#This Row],[1]:[11]])-COUNTBLANK(Table26789[[#This Row],[1]:[11]])-1)))</f>
        <v/>
      </c>
      <c r="AE27" s="30" t="str" cm="1">
        <f t="array" ref="AE27">IF(Table26789[[#This Row],[7]]="","",Table26789[[#This Row],[Weight]:[Weight]]-(Table26789[[#This Row],[Weight]:[Weight]]*((_xlfn.XMATCH(Table26789[[#This Row],[7]],Table26789[[#This Row],[1]:[11]],0))-1)/(COUNTA(Table26789[[#This Row],[1]:[11]])-COUNTBLANK(Table26789[[#This Row],[1]:[11]])-1)))</f>
        <v/>
      </c>
      <c r="AF27" s="30" t="str" cm="1">
        <f t="array" ref="AF27">IF(Table26789[[#This Row],[8]]="","",Table26789[[#This Row],[Weight]:[Weight]]-(Table26789[[#This Row],[Weight]:[Weight]]*((_xlfn.XMATCH(Table26789[[#This Row],[8]],Table26789[[#This Row],[1]:[11]],0))-1)/(COUNTA(Table26789[[#This Row],[1]:[11]])-COUNTBLANK(Table26789[[#This Row],[1]:[11]])-1)))</f>
        <v/>
      </c>
      <c r="AG27" s="41" t="str" cm="1">
        <f t="array" ref="AG27">IF(Table26789[[#This Row],[9]]="","",Table26789[[#This Row],[Weight]:[Weight]]-(Table26789[[#This Row],[Weight]:[Weight]]*((_xlfn.XMATCH(Table26789[[#This Row],[9]],Table26789[[#This Row],[1]:[11]],0))-1)/(COUNTA(Table26789[[#This Row],[1]:[11]])-COUNTBLANK(Table26789[[#This Row],[1]:[11]])-1)))</f>
        <v/>
      </c>
      <c r="AH27" s="41" t="str" cm="1">
        <f t="array" ref="AH27">IF(Table26789[[#This Row],[10]]="","",Table26789[[#This Row],[Weight]:[Weight]]-(Table26789[[#This Row],[Weight]:[Weight]]*((_xlfn.XMATCH(Table26789[[#This Row],[10]],Table26789[[#This Row],[1]:[11]],0))-1)/(COUNTA(Table26789[[#This Row],[1]:[11]])-COUNTBLANK(Table26789[[#This Row],[1]:[11]])-1)))</f>
        <v/>
      </c>
      <c r="AI27" s="41" t="str" cm="1">
        <f t="array" ref="AI27">IF(Table26789[[#This Row],[11]]="","",Table26789[[#This Row],[Weight]:[Weight]]-(Table26789[[#This Row],[Weight]:[Weight]]*((_xlfn.XMATCH(Table26789[[#This Row],[11]],Table26789[[#This Row],[1]:[11]],0))-1)/(COUNTA(Table26789[[#This Row],[1]:[11]])-COUNTBLANK(Table26789[[#This Row],[1]:[11]])-1)))</f>
        <v/>
      </c>
    </row>
    <row r="28" spans="1:35" ht="288" x14ac:dyDescent="0.2">
      <c r="A28" s="195" t="s">
        <v>353</v>
      </c>
      <c r="B28" s="199" t="s">
        <v>354</v>
      </c>
      <c r="C28" s="199" t="s">
        <v>355</v>
      </c>
      <c r="D28" s="40"/>
      <c r="E28" s="21" t="s">
        <v>55</v>
      </c>
      <c r="F28" s="34" t="s">
        <v>106</v>
      </c>
      <c r="G28" s="35" cm="1">
        <f t="array" ref="G28">_xlfn.IFS(F28="","",F28="No interest",0,F28="Nice to have",1,F28="Useful",2,F28="Important",3,F28="Very important",4,F28="Critical",5,F28="Show stopper",6)</f>
        <v>5</v>
      </c>
      <c r="H28" s="36">
        <f t="shared" si="1"/>
        <v>8.0645161290322578E-3</v>
      </c>
      <c r="I28" s="37" t="s">
        <v>356</v>
      </c>
      <c r="J28" s="37" t="str" cm="1">
        <f t="array" ref="J28">_xlfn.TEXTJOIN(" "&amp;CHAR(10),,TEXT(SUBSTITUTE(Table26789[[#This Row],[12]:[22]],".",","),"0,00%"))</f>
        <v>0,00806451612903226 
0,00%</v>
      </c>
      <c r="K28" s="38" t="s">
        <v>357</v>
      </c>
      <c r="L28" s="39">
        <f>H28-(H28*((MATCH(Table26789[[#This Row],[Evaluators Response (SELECT)]],Table26789[[#This Row],[1]:[11]],0)-1)/(COUNTA(Table26789[[#This Row],[1]:[11]])-COUNTBLANK(Table26789[[#This Row],[1]:[11]])-1)))</f>
        <v>8.0645161290322578E-3</v>
      </c>
      <c r="M28" s="40"/>
      <c r="N28" s="29" t="str" cm="1">
        <f t="array" ref="N28">IFERROR(INDEX(_xlfn.UNIQUE(TRIM(_xlfn.TEXTSPLIT(Table26789[[#This Row],[Selection Options]:[Selection Options]],";"))),,N$11),"")</f>
        <v>(100%) Fully Compliant- The tender does comply with both GDPR and POPIA where the cloud service is hosted and where the data subjects are hosted, tenderer provides the natural and juristic persons PII is protected</v>
      </c>
      <c r="O28" s="29" t="str" cm="1">
        <f t="array" ref="O28">IFERROR(INDEX(_xlfn.UNIQUE(TRIM(_xlfn.TEXTSPLIT(Table26789[[#This Row],[Selection Options]:[Selection Options]],";"))),,O$11),"")</f>
        <v xml:space="preserve">
(0%) Non Compliance - The tender does not comply with both GDPR and POPIA where the cloud service is hosted and where the data subjects are hosted, tenderer provides the natural and juristic persons PII is protected.</v>
      </c>
      <c r="P28" s="29" t="str" cm="1">
        <f t="array" ref="P28">IFERROR(INDEX(_xlfn.UNIQUE(TRIM(_xlfn.TEXTSPLIT(Table26789[[#This Row],[Selection Options]:[Selection Options]],";"))),,P$11),"")</f>
        <v/>
      </c>
      <c r="Q28" s="29" t="str" cm="1">
        <f t="array" ref="Q28">IFERROR(INDEX(_xlfn.UNIQUE(TRIM(_xlfn.TEXTSPLIT(Table26789[[#This Row],[Selection Options]:[Selection Options]],";"))),,Q$11),"")</f>
        <v/>
      </c>
      <c r="R28" s="29" t="str" cm="1">
        <f t="array" ref="R28">IFERROR(INDEX(_xlfn.UNIQUE(TRIM(_xlfn.TEXTSPLIT(Table26789[[#This Row],[Selection Options]:[Selection Options]],";"))),,R$11),"")</f>
        <v/>
      </c>
      <c r="S28" s="29" t="str" cm="1">
        <f t="array" ref="S28">IFERROR(INDEX(_xlfn.UNIQUE(TRIM(_xlfn.TEXTSPLIT(Table26789[[#This Row],[Selection Options]:[Selection Options]],";"))),,S$11),"")</f>
        <v/>
      </c>
      <c r="T28" s="29" t="str" cm="1">
        <f t="array" ref="T28">IFERROR(INDEX(_xlfn.UNIQUE(TRIM(_xlfn.TEXTSPLIT(Table26789[[#This Row],[Selection Options]:[Selection Options]],";"))),,T$11),"")</f>
        <v/>
      </c>
      <c r="U28" s="29" t="str" cm="1">
        <f t="array" ref="U28">IFERROR(INDEX(_xlfn.UNIQUE(TRIM(_xlfn.TEXTSPLIT(Table26789[[#This Row],[Selection Options]:[Selection Options]],";"))),,U$11),"")</f>
        <v/>
      </c>
      <c r="V28" s="29" t="str" cm="1">
        <f t="array" ref="V28">IFERROR(INDEX(_xlfn.UNIQUE(TRIM(_xlfn.TEXTSPLIT(Table26789[[#This Row],[Selection Options]:[Selection Options]],";"))),,V$11),"")</f>
        <v/>
      </c>
      <c r="W28" s="29" t="str" cm="1">
        <f t="array" ref="W28">IFERROR(INDEX(_xlfn.UNIQUE(TRIM(_xlfn.TEXTSPLIT(Table26789[[#This Row],[Selection Options]:[Selection Options]],";"))),,W$11),"")</f>
        <v/>
      </c>
      <c r="X28" s="29" t="str" cm="1">
        <f t="array" ref="X28">IFERROR(INDEX(_xlfn.UNIQUE(TRIM(_xlfn.TEXTSPLIT(Table26789[[#This Row],[Selection Options]:[Selection Options]],";"))),,X$11),"")</f>
        <v/>
      </c>
      <c r="Y28" s="30" cm="1">
        <f t="array" ref="Y28">IF(Table26789[[#This Row],[1]]="","",Table26789[[#This Row],[Weight]:[Weight]]-(Table26789[[#This Row],[Weight]:[Weight]]*((_xlfn.XMATCH(Table26789[[#This Row],[1]],Table26789[[#This Row],[1]:[11]],0))-1)/(COUNTA(Table26789[[#This Row],[1]:[11]])-COUNTBLANK(Table26789[[#This Row],[1]:[11]])-1)))</f>
        <v>8.0645161290322578E-3</v>
      </c>
      <c r="Z28" s="30" cm="1">
        <f t="array" ref="Z28">IF(Table26789[[#This Row],[2]]="","",Table26789[[#This Row],[Weight]:[Weight]]-(Table26789[[#This Row],[Weight]:[Weight]]*((_xlfn.XMATCH(Table26789[[#This Row],[2]],Table26789[[#This Row],[1]:[11]],0))-1)/(COUNTA(Table26789[[#This Row],[1]:[11]])-COUNTBLANK(Table26789[[#This Row],[1]:[11]])-1)))</f>
        <v>0</v>
      </c>
      <c r="AA28" s="30" t="str" cm="1">
        <f t="array" ref="AA28">IF(Table26789[[#This Row],[3]]="","",Table26789[[#This Row],[Weight]:[Weight]]-(Table26789[[#This Row],[Weight]:[Weight]]*((_xlfn.XMATCH(Table26789[[#This Row],[3]],Table26789[[#This Row],[1]:[11]],0))-1)/(COUNTA(Table26789[[#This Row],[1]:[11]])-COUNTBLANK(Table26789[[#This Row],[1]:[11]])-1)))</f>
        <v/>
      </c>
      <c r="AB28" s="30" t="str" cm="1">
        <f t="array" ref="AB28">IF(Table26789[[#This Row],[4]]="","",Table26789[[#This Row],[Weight]:[Weight]]-(Table26789[[#This Row],[Weight]:[Weight]]*((_xlfn.XMATCH(Table26789[[#This Row],[4]],Table26789[[#This Row],[1]:[11]],0))-1)/(COUNTA(Table26789[[#This Row],[1]:[11]])-COUNTBLANK(Table26789[[#This Row],[1]:[11]])-1)))</f>
        <v/>
      </c>
      <c r="AC28" s="30" t="str" cm="1">
        <f t="array" ref="AC28">IF(Table26789[[#This Row],[5]]="","",Table26789[[#This Row],[Weight]:[Weight]]-(Table26789[[#This Row],[Weight]:[Weight]]*((_xlfn.XMATCH(Table26789[[#This Row],[5]],Table26789[[#This Row],[1]:[11]],0))-1)/(COUNTA(Table26789[[#This Row],[1]:[11]])-COUNTBLANK(Table26789[[#This Row],[1]:[11]])-1)))</f>
        <v/>
      </c>
      <c r="AD28" s="30" t="str" cm="1">
        <f t="array" ref="AD28">IF(Table26789[[#This Row],[6]]="","",Table26789[[#This Row],[Weight]:[Weight]]-(Table26789[[#This Row],[Weight]:[Weight]]*((_xlfn.XMATCH(Table26789[[#This Row],[6]],Table26789[[#This Row],[1]:[11]],0))-1)/(COUNTA(Table26789[[#This Row],[1]:[11]])-COUNTBLANK(Table26789[[#This Row],[1]:[11]])-1)))</f>
        <v/>
      </c>
      <c r="AE28" s="30" t="str" cm="1">
        <f t="array" ref="AE28">IF(Table26789[[#This Row],[7]]="","",Table26789[[#This Row],[Weight]:[Weight]]-(Table26789[[#This Row],[Weight]:[Weight]]*((_xlfn.XMATCH(Table26789[[#This Row],[7]],Table26789[[#This Row],[1]:[11]],0))-1)/(COUNTA(Table26789[[#This Row],[1]:[11]])-COUNTBLANK(Table26789[[#This Row],[1]:[11]])-1)))</f>
        <v/>
      </c>
      <c r="AF28" s="30" t="str" cm="1">
        <f t="array" ref="AF28">IF(Table26789[[#This Row],[8]]="","",Table26789[[#This Row],[Weight]:[Weight]]-(Table26789[[#This Row],[Weight]:[Weight]]*((_xlfn.XMATCH(Table26789[[#This Row],[8]],Table26789[[#This Row],[1]:[11]],0))-1)/(COUNTA(Table26789[[#This Row],[1]:[11]])-COUNTBLANK(Table26789[[#This Row],[1]:[11]])-1)))</f>
        <v/>
      </c>
      <c r="AG28" s="30" t="str" cm="1">
        <f t="array" ref="AG28">IF(Table26789[[#This Row],[9]]="","",Table26789[[#This Row],[Weight]:[Weight]]-(Table26789[[#This Row],[Weight]:[Weight]]*((_xlfn.XMATCH(Table26789[[#This Row],[9]],Table26789[[#This Row],[1]:[11]],0))-1)/(COUNTA(Table26789[[#This Row],[1]:[11]])-COUNTBLANK(Table26789[[#This Row],[1]:[11]])-1)))</f>
        <v/>
      </c>
      <c r="AH28" s="30" t="str" cm="1">
        <f t="array" ref="AH28">IF(Table26789[[#This Row],[10]]="","",Table26789[[#This Row],[Weight]:[Weight]]-(Table26789[[#This Row],[Weight]:[Weight]]*((_xlfn.XMATCH(Table26789[[#This Row],[10]],Table26789[[#This Row],[1]:[11]],0))-1)/(COUNTA(Table26789[[#This Row],[1]:[11]])-COUNTBLANK(Table26789[[#This Row],[1]:[11]])-1)))</f>
        <v/>
      </c>
      <c r="AI28" s="30" t="str" cm="1">
        <f t="array" ref="AI28">IF(Table26789[[#This Row],[11]]="","",Table26789[[#This Row],[Weight]:[Weight]]-(Table26789[[#This Row],[Weight]:[Weight]]*((_xlfn.XMATCH(Table26789[[#This Row],[11]],Table26789[[#This Row],[1]:[11]],0))-1)/(COUNTA(Table26789[[#This Row],[1]:[11]])-COUNTBLANK(Table26789[[#This Row],[1]:[11]])-1)))</f>
        <v/>
      </c>
    </row>
    <row r="29" spans="1:35" ht="156" x14ac:dyDescent="0.2">
      <c r="A29" s="195" t="s">
        <v>358</v>
      </c>
      <c r="B29" s="203" t="s">
        <v>359</v>
      </c>
      <c r="C29" s="203" t="s">
        <v>355</v>
      </c>
      <c r="D29" s="40"/>
      <c r="E29" s="21" t="s">
        <v>55</v>
      </c>
      <c r="F29" s="34" t="s">
        <v>106</v>
      </c>
      <c r="G29" s="35" cm="1">
        <f t="array" ref="G29">_xlfn.IFS(F29="","",F29="No interest",0,F29="Nice to have",1,F29="Useful",2,F29="Important",3,F29="Very important",4,F29="Critical",5,F29="Show stopper",6)</f>
        <v>5</v>
      </c>
      <c r="H29" s="36">
        <f t="shared" si="1"/>
        <v>8.0645161290322578E-3</v>
      </c>
      <c r="I29" s="37" t="s">
        <v>360</v>
      </c>
      <c r="J29" s="37" t="str" cm="1">
        <f t="array" ref="J29">_xlfn.TEXTJOIN(" "&amp;CHAR(10),,TEXT(SUBSTITUTE(Table26789[[#This Row],[12]:[22]],".",","),"0,00%"))</f>
        <v>0,00806451612903226 
0,00%</v>
      </c>
      <c r="K29" s="38" t="s">
        <v>361</v>
      </c>
      <c r="L29" s="39">
        <f>H29-(H29*((MATCH(Table26789[[#This Row],[Evaluators Response (SELECT)]],Table26789[[#This Row],[1]:[11]],0)-1)/(COUNTA(Table26789[[#This Row],[1]:[11]])-COUNTBLANK(Table26789[[#This Row],[1]:[11]])-1)))</f>
        <v>8.0645161290322578E-3</v>
      </c>
      <c r="M29" s="40"/>
      <c r="N29" s="29" t="str" cm="1">
        <f t="array" ref="N29">IFERROR(INDEX(_xlfn.UNIQUE(TRIM(_xlfn.TEXTSPLIT(Table26789[[#This Row],[Selection Options]:[Selection Options]],";"))),,N$11),"")</f>
        <v>(100%) Fully comply with requirement - The Tender have confidentiality and privacy policy for employees, partners and subcontractor</v>
      </c>
      <c r="O29" s="29" t="str" cm="1">
        <f t="array" ref="O29">IFERROR(INDEX(_xlfn.UNIQUE(TRIM(_xlfn.TEXTSPLIT(Table26789[[#This Row],[Selection Options]:[Selection Options]],";"))),,O$11),"")</f>
        <v xml:space="preserve">
(0%) No compliance - The Tender does not have confidentiality and privacy policy for employees, partners and subcontractor.</v>
      </c>
      <c r="P29" s="29" t="str" cm="1">
        <f t="array" ref="P29">IFERROR(INDEX(_xlfn.UNIQUE(TRIM(_xlfn.TEXTSPLIT(Table26789[[#This Row],[Selection Options]:[Selection Options]],";"))),,P$11),"")</f>
        <v/>
      </c>
      <c r="Q29" s="29" t="str" cm="1">
        <f t="array" ref="Q29">IFERROR(INDEX(_xlfn.UNIQUE(TRIM(_xlfn.TEXTSPLIT(Table26789[[#This Row],[Selection Options]:[Selection Options]],";"))),,Q$11),"")</f>
        <v/>
      </c>
      <c r="R29" s="29" t="str" cm="1">
        <f t="array" ref="R29">IFERROR(INDEX(_xlfn.UNIQUE(TRIM(_xlfn.TEXTSPLIT(Table26789[[#This Row],[Selection Options]:[Selection Options]],";"))),,R$11),"")</f>
        <v/>
      </c>
      <c r="S29" s="29" t="str" cm="1">
        <f t="array" ref="S29">IFERROR(INDEX(_xlfn.UNIQUE(TRIM(_xlfn.TEXTSPLIT(Table26789[[#This Row],[Selection Options]:[Selection Options]],";"))),,S$11),"")</f>
        <v/>
      </c>
      <c r="T29" s="29" t="str" cm="1">
        <f t="array" ref="T29">IFERROR(INDEX(_xlfn.UNIQUE(TRIM(_xlfn.TEXTSPLIT(Table26789[[#This Row],[Selection Options]:[Selection Options]],";"))),,T$11),"")</f>
        <v/>
      </c>
      <c r="U29" s="29" t="str" cm="1">
        <f t="array" ref="U29">IFERROR(INDEX(_xlfn.UNIQUE(TRIM(_xlfn.TEXTSPLIT(Table26789[[#This Row],[Selection Options]:[Selection Options]],";"))),,U$11),"")</f>
        <v/>
      </c>
      <c r="V29" s="29" t="str" cm="1">
        <f t="array" ref="V29">IFERROR(INDEX(_xlfn.UNIQUE(TRIM(_xlfn.TEXTSPLIT(Table26789[[#This Row],[Selection Options]:[Selection Options]],";"))),,V$11),"")</f>
        <v/>
      </c>
      <c r="W29" s="29" t="str" cm="1">
        <f t="array" ref="W29">IFERROR(INDEX(_xlfn.UNIQUE(TRIM(_xlfn.TEXTSPLIT(Table26789[[#This Row],[Selection Options]:[Selection Options]],";"))),,W$11),"")</f>
        <v/>
      </c>
      <c r="X29" s="29" t="str" cm="1">
        <f t="array" ref="X29">IFERROR(INDEX(_xlfn.UNIQUE(TRIM(_xlfn.TEXTSPLIT(Table26789[[#This Row],[Selection Options]:[Selection Options]],";"))),,X$11),"")</f>
        <v/>
      </c>
      <c r="Y29" s="30" cm="1">
        <f t="array" ref="Y29">IF(Table26789[[#This Row],[1]]="","",Table26789[[#This Row],[Weight]:[Weight]]-(Table26789[[#This Row],[Weight]:[Weight]]*((_xlfn.XMATCH(Table26789[[#This Row],[1]],Table26789[[#This Row],[1]:[11]],0))-1)/(COUNTA(Table26789[[#This Row],[1]:[11]])-COUNTBLANK(Table26789[[#This Row],[1]:[11]])-1)))</f>
        <v>8.0645161290322578E-3</v>
      </c>
      <c r="Z29" s="30" cm="1">
        <f t="array" ref="Z29">IF(Table26789[[#This Row],[2]]="","",Table26789[[#This Row],[Weight]:[Weight]]-(Table26789[[#This Row],[Weight]:[Weight]]*((_xlfn.XMATCH(Table26789[[#This Row],[2]],Table26789[[#This Row],[1]:[11]],0))-1)/(COUNTA(Table26789[[#This Row],[1]:[11]])-COUNTBLANK(Table26789[[#This Row],[1]:[11]])-1)))</f>
        <v>0</v>
      </c>
      <c r="AA29" s="30" t="str" cm="1">
        <f t="array" ref="AA29">IF(Table26789[[#This Row],[3]]="","",Table26789[[#This Row],[Weight]:[Weight]]-(Table26789[[#This Row],[Weight]:[Weight]]*((_xlfn.XMATCH(Table26789[[#This Row],[3]],Table26789[[#This Row],[1]:[11]],0))-1)/(COUNTA(Table26789[[#This Row],[1]:[11]])-COUNTBLANK(Table26789[[#This Row],[1]:[11]])-1)))</f>
        <v/>
      </c>
      <c r="AB29" s="30" t="str" cm="1">
        <f t="array" ref="AB29">IF(Table26789[[#This Row],[4]]="","",Table26789[[#This Row],[Weight]:[Weight]]-(Table26789[[#This Row],[Weight]:[Weight]]*((_xlfn.XMATCH(Table26789[[#This Row],[4]],Table26789[[#This Row],[1]:[11]],0))-1)/(COUNTA(Table26789[[#This Row],[1]:[11]])-COUNTBLANK(Table26789[[#This Row],[1]:[11]])-1)))</f>
        <v/>
      </c>
      <c r="AC29" s="30" t="str" cm="1">
        <f t="array" ref="AC29">IF(Table26789[[#This Row],[5]]="","",Table26789[[#This Row],[Weight]:[Weight]]-(Table26789[[#This Row],[Weight]:[Weight]]*((_xlfn.XMATCH(Table26789[[#This Row],[5]],Table26789[[#This Row],[1]:[11]],0))-1)/(COUNTA(Table26789[[#This Row],[1]:[11]])-COUNTBLANK(Table26789[[#This Row],[1]:[11]])-1)))</f>
        <v/>
      </c>
      <c r="AD29" s="30" t="str" cm="1">
        <f t="array" ref="AD29">IF(Table26789[[#This Row],[6]]="","",Table26789[[#This Row],[Weight]:[Weight]]-(Table26789[[#This Row],[Weight]:[Weight]]*((_xlfn.XMATCH(Table26789[[#This Row],[6]],Table26789[[#This Row],[1]:[11]],0))-1)/(COUNTA(Table26789[[#This Row],[1]:[11]])-COUNTBLANK(Table26789[[#This Row],[1]:[11]])-1)))</f>
        <v/>
      </c>
      <c r="AE29" s="30" t="str" cm="1">
        <f t="array" ref="AE29">IF(Table26789[[#This Row],[7]]="","",Table26789[[#This Row],[Weight]:[Weight]]-(Table26789[[#This Row],[Weight]:[Weight]]*((_xlfn.XMATCH(Table26789[[#This Row],[7]],Table26789[[#This Row],[1]:[11]],0))-1)/(COUNTA(Table26789[[#This Row],[1]:[11]])-COUNTBLANK(Table26789[[#This Row],[1]:[11]])-1)))</f>
        <v/>
      </c>
      <c r="AF29" s="30" t="str" cm="1">
        <f t="array" ref="AF29">IF(Table26789[[#This Row],[8]]="","",Table26789[[#This Row],[Weight]:[Weight]]-(Table26789[[#This Row],[Weight]:[Weight]]*((_xlfn.XMATCH(Table26789[[#This Row],[8]],Table26789[[#This Row],[1]:[11]],0))-1)/(COUNTA(Table26789[[#This Row],[1]:[11]])-COUNTBLANK(Table26789[[#This Row],[1]:[11]])-1)))</f>
        <v/>
      </c>
      <c r="AG29" s="30" t="str" cm="1">
        <f t="array" ref="AG29">IF(Table26789[[#This Row],[9]]="","",Table26789[[#This Row],[Weight]:[Weight]]-(Table26789[[#This Row],[Weight]:[Weight]]*((_xlfn.XMATCH(Table26789[[#This Row],[9]],Table26789[[#This Row],[1]:[11]],0))-1)/(COUNTA(Table26789[[#This Row],[1]:[11]])-COUNTBLANK(Table26789[[#This Row],[1]:[11]])-1)))</f>
        <v/>
      </c>
      <c r="AH29" s="30" t="str" cm="1">
        <f t="array" ref="AH29">IF(Table26789[[#This Row],[10]]="","",Table26789[[#This Row],[Weight]:[Weight]]-(Table26789[[#This Row],[Weight]:[Weight]]*((_xlfn.XMATCH(Table26789[[#This Row],[10]],Table26789[[#This Row],[1]:[11]],0))-1)/(COUNTA(Table26789[[#This Row],[1]:[11]])-COUNTBLANK(Table26789[[#This Row],[1]:[11]])-1)))</f>
        <v/>
      </c>
      <c r="AI29" s="30" t="str" cm="1">
        <f t="array" ref="AI29">IF(Table26789[[#This Row],[11]]="","",Table26789[[#This Row],[Weight]:[Weight]]-(Table26789[[#This Row],[Weight]:[Weight]]*((_xlfn.XMATCH(Table26789[[#This Row],[11]],Table26789[[#This Row],[1]:[11]],0))-1)/(COUNTA(Table26789[[#This Row],[1]:[11]])-COUNTBLANK(Table26789[[#This Row],[1]:[11]])-1)))</f>
        <v/>
      </c>
    </row>
    <row r="30" spans="1:35" ht="156" x14ac:dyDescent="0.2">
      <c r="A30" s="195" t="s">
        <v>362</v>
      </c>
      <c r="B30" s="199" t="s">
        <v>363</v>
      </c>
      <c r="C30" s="199" t="s">
        <v>364</v>
      </c>
      <c r="D30" s="40"/>
      <c r="E30" s="21" t="s">
        <v>55</v>
      </c>
      <c r="F30" s="34" t="s">
        <v>106</v>
      </c>
      <c r="G30" s="35" cm="1">
        <f t="array" ref="G30">_xlfn.IFS(F30="","",F30="No interest",0,F30="Nice to have",1,F30="Useful",2,F30="Important",3,F30="Very important",4,F30="Critical",5,F30="Show stopper",6)</f>
        <v>5</v>
      </c>
      <c r="H30" s="36">
        <f t="shared" si="1"/>
        <v>8.0645161290322578E-3</v>
      </c>
      <c r="I30" s="37" t="s">
        <v>365</v>
      </c>
      <c r="J30" s="37" t="str" cm="1">
        <f t="array" ref="J30">_xlfn.TEXTJOIN(" "&amp;CHAR(10),,TEXT(SUBSTITUTE(Table26789[[#This Row],[12]:[22]],".",","),"0,00%"))</f>
        <v>0,00806451612903226 
0,00%</v>
      </c>
      <c r="K30" s="38" t="s">
        <v>366</v>
      </c>
      <c r="L30" s="39">
        <f>H30-(H30*((MATCH(Table26789[[#This Row],[Evaluators Response (SELECT)]],Table26789[[#This Row],[1]:[11]],0)-1)/(COUNTA(Table26789[[#This Row],[1]:[11]])-COUNTBLANK(Table26789[[#This Row],[1]:[11]])-1)))</f>
        <v>8.0645161290322578E-3</v>
      </c>
      <c r="M30" s="40"/>
      <c r="N30" s="29" t="str" cm="1">
        <f t="array" ref="N30">IFERROR(INDEX(_xlfn.UNIQUE(TRIM(_xlfn.TEXTSPLIT(Table26789[[#This Row],[Selection Options]:[Selection Options]],";"))),,N$11),"")</f>
        <v>(100%) Fully comply with requirement - The Tenderer does notify Eskom if there is cyber attack or data breaches and SLA is place</v>
      </c>
      <c r="O30" s="29" t="str" cm="1">
        <f t="array" ref="O30">IFERROR(INDEX(_xlfn.UNIQUE(TRIM(_xlfn.TEXTSPLIT(Table26789[[#This Row],[Selection Options]:[Selection Options]],";"))),,O$11),"")</f>
        <v xml:space="preserve">
(0%) No compliance - The Tenderer does not notify Eskom if there is cyber attack or data breaches and no SLA is place.</v>
      </c>
      <c r="P30" s="29" t="str" cm="1">
        <f t="array" ref="P30">IFERROR(INDEX(_xlfn.UNIQUE(TRIM(_xlfn.TEXTSPLIT(Table26789[[#This Row],[Selection Options]:[Selection Options]],";"))),,P$11),"")</f>
        <v/>
      </c>
      <c r="Q30" s="29" t="str" cm="1">
        <f t="array" ref="Q30">IFERROR(INDEX(_xlfn.UNIQUE(TRIM(_xlfn.TEXTSPLIT(Table26789[[#This Row],[Selection Options]:[Selection Options]],";"))),,Q$11),"")</f>
        <v/>
      </c>
      <c r="R30" s="29" t="str" cm="1">
        <f t="array" ref="R30">IFERROR(INDEX(_xlfn.UNIQUE(TRIM(_xlfn.TEXTSPLIT(Table26789[[#This Row],[Selection Options]:[Selection Options]],";"))),,R$11),"")</f>
        <v/>
      </c>
      <c r="S30" s="29" t="str" cm="1">
        <f t="array" ref="S30">IFERROR(INDEX(_xlfn.UNIQUE(TRIM(_xlfn.TEXTSPLIT(Table26789[[#This Row],[Selection Options]:[Selection Options]],";"))),,S$11),"")</f>
        <v/>
      </c>
      <c r="T30" s="29" t="str" cm="1">
        <f t="array" ref="T30">IFERROR(INDEX(_xlfn.UNIQUE(TRIM(_xlfn.TEXTSPLIT(Table26789[[#This Row],[Selection Options]:[Selection Options]],";"))),,T$11),"")</f>
        <v/>
      </c>
      <c r="U30" s="29" t="str" cm="1">
        <f t="array" ref="U30">IFERROR(INDEX(_xlfn.UNIQUE(TRIM(_xlfn.TEXTSPLIT(Table26789[[#This Row],[Selection Options]:[Selection Options]],";"))),,U$11),"")</f>
        <v/>
      </c>
      <c r="V30" s="29" t="str" cm="1">
        <f t="array" ref="V30">IFERROR(INDEX(_xlfn.UNIQUE(TRIM(_xlfn.TEXTSPLIT(Table26789[[#This Row],[Selection Options]:[Selection Options]],";"))),,V$11),"")</f>
        <v/>
      </c>
      <c r="W30" s="29" t="str" cm="1">
        <f t="array" ref="W30">IFERROR(INDEX(_xlfn.UNIQUE(TRIM(_xlfn.TEXTSPLIT(Table26789[[#This Row],[Selection Options]:[Selection Options]],";"))),,W$11),"")</f>
        <v/>
      </c>
      <c r="X30" s="29" t="str" cm="1">
        <f t="array" ref="X30">IFERROR(INDEX(_xlfn.UNIQUE(TRIM(_xlfn.TEXTSPLIT(Table26789[[#This Row],[Selection Options]:[Selection Options]],";"))),,X$11),"")</f>
        <v/>
      </c>
      <c r="Y30" s="44" cm="1">
        <f t="array" ref="Y30">IF(Table26789[[#This Row],[1]]="","",Table26789[[#This Row],[Weight]:[Weight]]-(Table26789[[#This Row],[Weight]:[Weight]]*((_xlfn.XMATCH(Table26789[[#This Row],[1]],Table26789[[#This Row],[1]:[11]],0))-1)/(COUNTA(Table26789[[#This Row],[1]:[11]])-COUNTBLANK(Table26789[[#This Row],[1]:[11]])-1)))</f>
        <v>8.0645161290322578E-3</v>
      </c>
      <c r="Z30" s="44" cm="1">
        <f t="array" ref="Z30">IF(Table26789[[#This Row],[2]]="","",Table26789[[#This Row],[Weight]:[Weight]]-(Table26789[[#This Row],[Weight]:[Weight]]*((_xlfn.XMATCH(Table26789[[#This Row],[2]],Table26789[[#This Row],[1]:[11]],0))-1)/(COUNTA(Table26789[[#This Row],[1]:[11]])-COUNTBLANK(Table26789[[#This Row],[1]:[11]])-1)))</f>
        <v>0</v>
      </c>
      <c r="AA30" s="44" t="str" cm="1">
        <f t="array" ref="AA30">IF(Table26789[[#This Row],[3]]="","",Table26789[[#This Row],[Weight]:[Weight]]-(Table26789[[#This Row],[Weight]:[Weight]]*((_xlfn.XMATCH(Table26789[[#This Row],[3]],Table26789[[#This Row],[1]:[11]],0))-1)/(COUNTA(Table26789[[#This Row],[1]:[11]])-COUNTBLANK(Table26789[[#This Row],[1]:[11]])-1)))</f>
        <v/>
      </c>
      <c r="AB30" s="44" t="str" cm="1">
        <f t="array" ref="AB30">IF(Table26789[[#This Row],[4]]="","",Table26789[[#This Row],[Weight]:[Weight]]-(Table26789[[#This Row],[Weight]:[Weight]]*((_xlfn.XMATCH(Table26789[[#This Row],[4]],Table26789[[#This Row],[1]:[11]],0))-1)/(COUNTA(Table26789[[#This Row],[1]:[11]])-COUNTBLANK(Table26789[[#This Row],[1]:[11]])-1)))</f>
        <v/>
      </c>
      <c r="AC30" s="44" t="str" cm="1">
        <f t="array" ref="AC30">IF(Table26789[[#This Row],[5]]="","",Table26789[[#This Row],[Weight]:[Weight]]-(Table26789[[#This Row],[Weight]:[Weight]]*((_xlfn.XMATCH(Table26789[[#This Row],[5]],Table26789[[#This Row],[1]:[11]],0))-1)/(COUNTA(Table26789[[#This Row],[1]:[11]])-COUNTBLANK(Table26789[[#This Row],[1]:[11]])-1)))</f>
        <v/>
      </c>
      <c r="AD30" s="44" t="str" cm="1">
        <f t="array" ref="AD30">IF(Table26789[[#This Row],[6]]="","",Table26789[[#This Row],[Weight]:[Weight]]-(Table26789[[#This Row],[Weight]:[Weight]]*((_xlfn.XMATCH(Table26789[[#This Row],[6]],Table26789[[#This Row],[1]:[11]],0))-1)/(COUNTA(Table26789[[#This Row],[1]:[11]])-COUNTBLANK(Table26789[[#This Row],[1]:[11]])-1)))</f>
        <v/>
      </c>
      <c r="AE30" s="44" t="str" cm="1">
        <f t="array" ref="AE30">IF(Table26789[[#This Row],[7]]="","",Table26789[[#This Row],[Weight]:[Weight]]-(Table26789[[#This Row],[Weight]:[Weight]]*((_xlfn.XMATCH(Table26789[[#This Row],[7]],Table26789[[#This Row],[1]:[11]],0))-1)/(COUNTA(Table26789[[#This Row],[1]:[11]])-COUNTBLANK(Table26789[[#This Row],[1]:[11]])-1)))</f>
        <v/>
      </c>
      <c r="AF30" s="44" t="str" cm="1">
        <f t="array" ref="AF30">IF(Table26789[[#This Row],[8]]="","",Table26789[[#This Row],[Weight]:[Weight]]-(Table26789[[#This Row],[Weight]:[Weight]]*((_xlfn.XMATCH(Table26789[[#This Row],[8]],Table26789[[#This Row],[1]:[11]],0))-1)/(COUNTA(Table26789[[#This Row],[1]:[11]])-COUNTBLANK(Table26789[[#This Row],[1]:[11]])-1)))</f>
        <v/>
      </c>
      <c r="AG30" s="29" t="str" cm="1">
        <f t="array" ref="AG30">IF(Table26789[[#This Row],[9]]="","",Table26789[[#This Row],[Weight]:[Weight]]-(Table26789[[#This Row],[Weight]:[Weight]]*((_xlfn.XMATCH(Table26789[[#This Row],[9]],Table26789[[#This Row],[1]:[11]],0))-1)/(COUNTA(Table26789[[#This Row],[1]:[11]])-COUNTBLANK(Table26789[[#This Row],[1]:[11]])-1)))</f>
        <v/>
      </c>
      <c r="AH30" s="29" t="str" cm="1">
        <f t="array" ref="AH30">IF(Table26789[[#This Row],[10]]="","",Table26789[[#This Row],[Weight]:[Weight]]-(Table26789[[#This Row],[Weight]:[Weight]]*((_xlfn.XMATCH(Table26789[[#This Row],[10]],Table26789[[#This Row],[1]:[11]],0))-1)/(COUNTA(Table26789[[#This Row],[1]:[11]])-COUNTBLANK(Table26789[[#This Row],[1]:[11]])-1)))</f>
        <v/>
      </c>
      <c r="AI30" s="29" t="str" cm="1">
        <f t="array" ref="AI30">IF(Table26789[[#This Row],[11]]="","",Table26789[[#This Row],[Weight]:[Weight]]-(Table26789[[#This Row],[Weight]:[Weight]]*((_xlfn.XMATCH(Table26789[[#This Row],[11]],Table26789[[#This Row],[1]:[11]],0))-1)/(COUNTA(Table26789[[#This Row],[1]:[11]])-COUNTBLANK(Table26789[[#This Row],[1]:[11]])-1)))</f>
        <v/>
      </c>
    </row>
    <row r="31" spans="1:35" ht="312" x14ac:dyDescent="0.2">
      <c r="A31" s="195" t="s">
        <v>367</v>
      </c>
      <c r="B31" s="199" t="s">
        <v>368</v>
      </c>
      <c r="C31" s="199" t="s">
        <v>369</v>
      </c>
      <c r="D31" s="28"/>
      <c r="E31" s="21" t="s">
        <v>55</v>
      </c>
      <c r="F31" s="22" t="s">
        <v>106</v>
      </c>
      <c r="G31" s="23" cm="1">
        <f t="array" ref="G31">_xlfn.IFS(F31="","",F31="No interest",0,F31="Nice to have",1,F31="Useful",2,F31="Important",3,F31="Very important",4,F31="Critical",5,F31="Show stopper",6)</f>
        <v>5</v>
      </c>
      <c r="H31" s="24">
        <f t="shared" ref="H31:H36" si="2">(G31/$G$11)*$F$11</f>
        <v>8.0645161290322578E-3</v>
      </c>
      <c r="I31" s="25" t="s">
        <v>370</v>
      </c>
      <c r="J31" s="37" t="str" cm="1">
        <f t="array" ref="J31">_xlfn.TEXTJOIN(" "&amp;CHAR(10),,TEXT(SUBSTITUTE(Table26789[[#This Row],[12]:[22]],".",","),"0,00%"))</f>
        <v>0,00806451612903226 
0,00%</v>
      </c>
      <c r="K31" s="26" t="s">
        <v>371</v>
      </c>
      <c r="L31" s="27">
        <f>H31-(H31*((MATCH(Table26789[[#This Row],[Evaluators Response (SELECT)]],Table26789[[#This Row],[1]:[11]],0)-1)/(COUNTA(Table26789[[#This Row],[1]:[11]])-COUNTBLANK(Table26789[[#This Row],[1]:[11]])-1)))</f>
        <v>8.0645161290322578E-3</v>
      </c>
      <c r="M31" s="28"/>
      <c r="N31" s="29" t="str" cm="1">
        <f t="array" ref="N31">IFERROR(INDEX(_xlfn.UNIQUE(TRIM(_xlfn.TEXTSPLIT(Table26789[[#This Row],[Selection Options]:[Selection Options]],";"))),,N$11),"")</f>
        <v>(100%) Fully comply with requirement - The Tender does notify Eskom if there are any significant changes to the business, platform and hosting service provider or any change that could have an impact the security assessment conducted and SLA is in place</v>
      </c>
      <c r="O31" s="29" t="str" cm="1">
        <f t="array" ref="O31">IFERROR(INDEX(_xlfn.UNIQUE(TRIM(_xlfn.TEXTSPLIT(Table26789[[#This Row],[Selection Options]:[Selection Options]],";"))),,O$11),"")</f>
        <v xml:space="preserve">
(0%) No compliance - The tender does not notify Eskom if there are any significant changes to the business, platform and hosting service provider or any change that could have an impact the security assessment conducted and SLA is in place.</v>
      </c>
      <c r="P31" s="29" t="str" cm="1">
        <f t="array" ref="P31">IFERROR(INDEX(_xlfn.UNIQUE(TRIM(_xlfn.TEXTSPLIT(Table26789[[#This Row],[Selection Options]:[Selection Options]],";"))),,P$11),"")</f>
        <v/>
      </c>
      <c r="Q31" s="29" t="str" cm="1">
        <f t="array" ref="Q31">IFERROR(INDEX(_xlfn.UNIQUE(TRIM(_xlfn.TEXTSPLIT(Table26789[[#This Row],[Selection Options]:[Selection Options]],";"))),,Q$11),"")</f>
        <v/>
      </c>
      <c r="R31" s="29" t="str" cm="1">
        <f t="array" ref="R31">IFERROR(INDEX(_xlfn.UNIQUE(TRIM(_xlfn.TEXTSPLIT(Table26789[[#This Row],[Selection Options]:[Selection Options]],";"))),,R$11),"")</f>
        <v/>
      </c>
      <c r="S31" s="29" t="str" cm="1">
        <f t="array" ref="S31">IFERROR(INDEX(_xlfn.UNIQUE(TRIM(_xlfn.TEXTSPLIT(Table26789[[#This Row],[Selection Options]:[Selection Options]],";"))),,S$11),"")</f>
        <v/>
      </c>
      <c r="T31" s="29" t="str" cm="1">
        <f t="array" ref="T31">IFERROR(INDEX(_xlfn.UNIQUE(TRIM(_xlfn.TEXTSPLIT(Table26789[[#This Row],[Selection Options]:[Selection Options]],";"))),,T$11),"")</f>
        <v/>
      </c>
      <c r="U31" s="29" t="str" cm="1">
        <f t="array" ref="U31">IFERROR(INDEX(_xlfn.UNIQUE(TRIM(_xlfn.TEXTSPLIT(Table26789[[#This Row],[Selection Options]:[Selection Options]],";"))),,U$11),"")</f>
        <v/>
      </c>
      <c r="V31" s="29" t="str" cm="1">
        <f t="array" ref="V31">IFERROR(INDEX(_xlfn.UNIQUE(TRIM(_xlfn.TEXTSPLIT(Table26789[[#This Row],[Selection Options]:[Selection Options]],";"))),,V$11),"")</f>
        <v/>
      </c>
      <c r="W31" s="29" t="str" cm="1">
        <f t="array" ref="W31">IFERROR(INDEX(_xlfn.UNIQUE(TRIM(_xlfn.TEXTSPLIT(Table26789[[#This Row],[Selection Options]:[Selection Options]],";"))),,W$11),"")</f>
        <v/>
      </c>
      <c r="X31" s="29" t="str" cm="1">
        <f t="array" ref="X31">IFERROR(INDEX(_xlfn.UNIQUE(TRIM(_xlfn.TEXTSPLIT(Table26789[[#This Row],[Selection Options]:[Selection Options]],";"))),,X$11),"")</f>
        <v/>
      </c>
      <c r="Y31" s="30" cm="1">
        <f t="array" ref="Y31">IF(Table26789[[#This Row],[1]]="","",Table26789[[#This Row],[Weight]:[Weight]]-(Table26789[[#This Row],[Weight]:[Weight]]*((_xlfn.XMATCH(Table26789[[#This Row],[1]],Table26789[[#This Row],[1]:[11]],0))-1)/(COUNTA(Table26789[[#This Row],[1]:[11]])-COUNTBLANK(Table26789[[#This Row],[1]:[11]])-1)))</f>
        <v>8.0645161290322578E-3</v>
      </c>
      <c r="Z31" s="30" cm="1">
        <f t="array" ref="Z31">IF(Table26789[[#This Row],[2]]="","",Table26789[[#This Row],[Weight]:[Weight]]-(Table26789[[#This Row],[Weight]:[Weight]]*((_xlfn.XMATCH(Table26789[[#This Row],[2]],Table26789[[#This Row],[1]:[11]],0))-1)/(COUNTA(Table26789[[#This Row],[1]:[11]])-COUNTBLANK(Table26789[[#This Row],[1]:[11]])-1)))</f>
        <v>0</v>
      </c>
      <c r="AA31" s="30" t="str" cm="1">
        <f t="array" ref="AA31">IF(Table26789[[#This Row],[3]]="","",Table26789[[#This Row],[Weight]:[Weight]]-(Table26789[[#This Row],[Weight]:[Weight]]*((_xlfn.XMATCH(Table26789[[#This Row],[3]],Table26789[[#This Row],[1]:[11]],0))-1)/(COUNTA(Table26789[[#This Row],[1]:[11]])-COUNTBLANK(Table26789[[#This Row],[1]:[11]])-1)))</f>
        <v/>
      </c>
      <c r="AB31" s="30" t="str" cm="1">
        <f t="array" ref="AB31">IF(Table26789[[#This Row],[4]]="","",Table26789[[#This Row],[Weight]:[Weight]]-(Table26789[[#This Row],[Weight]:[Weight]]*((_xlfn.XMATCH(Table26789[[#This Row],[4]],Table26789[[#This Row],[1]:[11]],0))-1)/(COUNTA(Table26789[[#This Row],[1]:[11]])-COUNTBLANK(Table26789[[#This Row],[1]:[11]])-1)))</f>
        <v/>
      </c>
      <c r="AC31" s="30" t="str" cm="1">
        <f t="array" ref="AC31">IF(Table26789[[#This Row],[5]]="","",Table26789[[#This Row],[Weight]:[Weight]]-(Table26789[[#This Row],[Weight]:[Weight]]*((_xlfn.XMATCH(Table26789[[#This Row],[5]],Table26789[[#This Row],[1]:[11]],0))-1)/(COUNTA(Table26789[[#This Row],[1]:[11]])-COUNTBLANK(Table26789[[#This Row],[1]:[11]])-1)))</f>
        <v/>
      </c>
      <c r="AD31" s="30" t="str" cm="1">
        <f t="array" ref="AD31">IF(Table26789[[#This Row],[6]]="","",Table26789[[#This Row],[Weight]:[Weight]]-(Table26789[[#This Row],[Weight]:[Weight]]*((_xlfn.XMATCH(Table26789[[#This Row],[6]],Table26789[[#This Row],[1]:[11]],0))-1)/(COUNTA(Table26789[[#This Row],[1]:[11]])-COUNTBLANK(Table26789[[#This Row],[1]:[11]])-1)))</f>
        <v/>
      </c>
      <c r="AE31" s="30" t="str" cm="1">
        <f t="array" ref="AE31">IF(Table26789[[#This Row],[7]]="","",Table26789[[#This Row],[Weight]:[Weight]]-(Table26789[[#This Row],[Weight]:[Weight]]*((_xlfn.XMATCH(Table26789[[#This Row],[7]],Table26789[[#This Row],[1]:[11]],0))-1)/(COUNTA(Table26789[[#This Row],[1]:[11]])-COUNTBLANK(Table26789[[#This Row],[1]:[11]])-1)))</f>
        <v/>
      </c>
      <c r="AF31" s="30" t="str" cm="1">
        <f t="array" ref="AF31">IF(Table26789[[#This Row],[8]]="","",Table26789[[#This Row],[Weight]:[Weight]]-(Table26789[[#This Row],[Weight]:[Weight]]*((_xlfn.XMATCH(Table26789[[#This Row],[8]],Table26789[[#This Row],[1]:[11]],0))-1)/(COUNTA(Table26789[[#This Row],[1]:[11]])-COUNTBLANK(Table26789[[#This Row],[1]:[11]])-1)))</f>
        <v/>
      </c>
      <c r="AG31" s="41" t="str" cm="1">
        <f t="array" ref="AG31">IF(Table26789[[#This Row],[9]]="","",Table26789[[#This Row],[Weight]:[Weight]]-(Table26789[[#This Row],[Weight]:[Weight]]*((_xlfn.XMATCH(Table26789[[#This Row],[9]],Table26789[[#This Row],[1]:[11]],0))-1)/(COUNTA(Table26789[[#This Row],[1]:[11]])-COUNTBLANK(Table26789[[#This Row],[1]:[11]])-1)))</f>
        <v/>
      </c>
      <c r="AH31" s="41" t="str" cm="1">
        <f t="array" ref="AH31">IF(Table26789[[#This Row],[10]]="","",Table26789[[#This Row],[Weight]:[Weight]]-(Table26789[[#This Row],[Weight]:[Weight]]*((_xlfn.XMATCH(Table26789[[#This Row],[10]],Table26789[[#This Row],[1]:[11]],0))-1)/(COUNTA(Table26789[[#This Row],[1]:[11]])-COUNTBLANK(Table26789[[#This Row],[1]:[11]])-1)))</f>
        <v/>
      </c>
      <c r="AI31" s="41" t="str" cm="1">
        <f t="array" ref="AI31">IF(Table26789[[#This Row],[11]]="","",Table26789[[#This Row],[Weight]:[Weight]]-(Table26789[[#This Row],[Weight]:[Weight]]*((_xlfn.XMATCH(Table26789[[#This Row],[11]],Table26789[[#This Row],[1]:[11]],0))-1)/(COUNTA(Table26789[[#This Row],[1]:[11]])-COUNTBLANK(Table26789[[#This Row],[1]:[11]])-1)))</f>
        <v/>
      </c>
    </row>
    <row r="32" spans="1:35" ht="192" x14ac:dyDescent="0.2">
      <c r="A32" s="195" t="s">
        <v>372</v>
      </c>
      <c r="B32" s="199" t="s">
        <v>373</v>
      </c>
      <c r="C32" s="199" t="s">
        <v>374</v>
      </c>
      <c r="D32" s="28"/>
      <c r="E32" s="21" t="s">
        <v>55</v>
      </c>
      <c r="F32" s="22" t="s">
        <v>106</v>
      </c>
      <c r="G32" s="23" cm="1">
        <f t="array" ref="G32">_xlfn.IFS(F32="","",F32="No interest",0,F32="Nice to have",1,F32="Useful",2,F32="Important",3,F32="Very important",4,F32="Critical",5,F32="Show stopper",6)</f>
        <v>5</v>
      </c>
      <c r="H32" s="24">
        <f t="shared" si="2"/>
        <v>8.0645161290322578E-3</v>
      </c>
      <c r="I32" s="25" t="s">
        <v>375</v>
      </c>
      <c r="J32" s="37" t="str" cm="1">
        <f t="array" ref="J32">_xlfn.TEXTJOIN(" "&amp;CHAR(10),,TEXT(SUBSTITUTE(Table26789[[#This Row],[12]:[22]],".",","),"0,00%"))</f>
        <v>0,00806451612903226 
0,00%</v>
      </c>
      <c r="K32" s="26" t="s">
        <v>376</v>
      </c>
      <c r="L32" s="27">
        <f>H32-(H32*((MATCH(Table26789[[#This Row],[Evaluators Response (SELECT)]],Table26789[[#This Row],[1]:[11]],0)-1)/(COUNTA(Table26789[[#This Row],[1]:[11]])-COUNTBLANK(Table26789[[#This Row],[1]:[11]])-1)))</f>
        <v>8.0645161290322578E-3</v>
      </c>
      <c r="M32" s="28"/>
      <c r="N32" s="29" t="str" cm="1">
        <f t="array" ref="N32">IFERROR(INDEX(_xlfn.UNIQUE(TRIM(_xlfn.TEXTSPLIT(Table26789[[#This Row],[Selection Options]:[Selection Options]],";"))),,N$11),"")</f>
        <v>(100%) Fully comply with requirement - The proposed solution does have Database Security Management Tool and Database is placed behind perimeter firewall</v>
      </c>
      <c r="O32" s="29" t="str" cm="1">
        <f t="array" ref="O32">IFERROR(INDEX(_xlfn.UNIQUE(TRIM(_xlfn.TEXTSPLIT(Table26789[[#This Row],[Selection Options]:[Selection Options]],";"))),,O$11),"")</f>
        <v xml:space="preserve">
(0%) No compliance - The proposed solution does not have Database Security Management Tool and Database is placed behind perimeter firewall.</v>
      </c>
      <c r="P32" s="29" t="str" cm="1">
        <f t="array" ref="P32">IFERROR(INDEX(_xlfn.UNIQUE(TRIM(_xlfn.TEXTSPLIT(Table26789[[#This Row],[Selection Options]:[Selection Options]],";"))),,P$11),"")</f>
        <v/>
      </c>
      <c r="Q32" s="29" t="str" cm="1">
        <f t="array" ref="Q32">IFERROR(INDEX(_xlfn.UNIQUE(TRIM(_xlfn.TEXTSPLIT(Table26789[[#This Row],[Selection Options]:[Selection Options]],";"))),,Q$11),"")</f>
        <v/>
      </c>
      <c r="R32" s="29" t="str" cm="1">
        <f t="array" ref="R32">IFERROR(INDEX(_xlfn.UNIQUE(TRIM(_xlfn.TEXTSPLIT(Table26789[[#This Row],[Selection Options]:[Selection Options]],";"))),,R$11),"")</f>
        <v/>
      </c>
      <c r="S32" s="29" t="str" cm="1">
        <f t="array" ref="S32">IFERROR(INDEX(_xlfn.UNIQUE(TRIM(_xlfn.TEXTSPLIT(Table26789[[#This Row],[Selection Options]:[Selection Options]],";"))),,S$11),"")</f>
        <v/>
      </c>
      <c r="T32" s="29" t="str" cm="1">
        <f t="array" ref="T32">IFERROR(INDEX(_xlfn.UNIQUE(TRIM(_xlfn.TEXTSPLIT(Table26789[[#This Row],[Selection Options]:[Selection Options]],";"))),,T$11),"")</f>
        <v/>
      </c>
      <c r="U32" s="29" t="str" cm="1">
        <f t="array" ref="U32">IFERROR(INDEX(_xlfn.UNIQUE(TRIM(_xlfn.TEXTSPLIT(Table26789[[#This Row],[Selection Options]:[Selection Options]],";"))),,U$11),"")</f>
        <v/>
      </c>
      <c r="V32" s="29" t="str" cm="1">
        <f t="array" ref="V32">IFERROR(INDEX(_xlfn.UNIQUE(TRIM(_xlfn.TEXTSPLIT(Table26789[[#This Row],[Selection Options]:[Selection Options]],";"))),,V$11),"")</f>
        <v/>
      </c>
      <c r="W32" s="29" t="str" cm="1">
        <f t="array" ref="W32">IFERROR(INDEX(_xlfn.UNIQUE(TRIM(_xlfn.TEXTSPLIT(Table26789[[#This Row],[Selection Options]:[Selection Options]],";"))),,W$11),"")</f>
        <v/>
      </c>
      <c r="X32" s="29" t="str" cm="1">
        <f t="array" ref="X32">IFERROR(INDEX(_xlfn.UNIQUE(TRIM(_xlfn.TEXTSPLIT(Table26789[[#This Row],[Selection Options]:[Selection Options]],";"))),,X$11),"")</f>
        <v/>
      </c>
      <c r="Y32" s="30" cm="1">
        <f t="array" ref="Y32">IF(Table26789[[#This Row],[1]]="","",Table26789[[#This Row],[Weight]:[Weight]]-(Table26789[[#This Row],[Weight]:[Weight]]*((_xlfn.XMATCH(Table26789[[#This Row],[1]],Table26789[[#This Row],[1]:[11]],0))-1)/(COUNTA(Table26789[[#This Row],[1]:[11]])-COUNTBLANK(Table26789[[#This Row],[1]:[11]])-1)))</f>
        <v>8.0645161290322578E-3</v>
      </c>
      <c r="Z32" s="30" cm="1">
        <f t="array" ref="Z32">IF(Table26789[[#This Row],[2]]="","",Table26789[[#This Row],[Weight]:[Weight]]-(Table26789[[#This Row],[Weight]:[Weight]]*((_xlfn.XMATCH(Table26789[[#This Row],[2]],Table26789[[#This Row],[1]:[11]],0))-1)/(COUNTA(Table26789[[#This Row],[1]:[11]])-COUNTBLANK(Table26789[[#This Row],[1]:[11]])-1)))</f>
        <v>0</v>
      </c>
      <c r="AA32" s="30" t="str" cm="1">
        <f t="array" ref="AA32">IF(Table26789[[#This Row],[3]]="","",Table26789[[#This Row],[Weight]:[Weight]]-(Table26789[[#This Row],[Weight]:[Weight]]*((_xlfn.XMATCH(Table26789[[#This Row],[3]],Table26789[[#This Row],[1]:[11]],0))-1)/(COUNTA(Table26789[[#This Row],[1]:[11]])-COUNTBLANK(Table26789[[#This Row],[1]:[11]])-1)))</f>
        <v/>
      </c>
      <c r="AB32" s="30" t="str" cm="1">
        <f t="array" ref="AB32">IF(Table26789[[#This Row],[4]]="","",Table26789[[#This Row],[Weight]:[Weight]]-(Table26789[[#This Row],[Weight]:[Weight]]*((_xlfn.XMATCH(Table26789[[#This Row],[4]],Table26789[[#This Row],[1]:[11]],0))-1)/(COUNTA(Table26789[[#This Row],[1]:[11]])-COUNTBLANK(Table26789[[#This Row],[1]:[11]])-1)))</f>
        <v/>
      </c>
      <c r="AC32" s="30" t="str" cm="1">
        <f t="array" ref="AC32">IF(Table26789[[#This Row],[5]]="","",Table26789[[#This Row],[Weight]:[Weight]]-(Table26789[[#This Row],[Weight]:[Weight]]*((_xlfn.XMATCH(Table26789[[#This Row],[5]],Table26789[[#This Row],[1]:[11]],0))-1)/(COUNTA(Table26789[[#This Row],[1]:[11]])-COUNTBLANK(Table26789[[#This Row],[1]:[11]])-1)))</f>
        <v/>
      </c>
      <c r="AD32" s="30" t="str" cm="1">
        <f t="array" ref="AD32">IF(Table26789[[#This Row],[6]]="","",Table26789[[#This Row],[Weight]:[Weight]]-(Table26789[[#This Row],[Weight]:[Weight]]*((_xlfn.XMATCH(Table26789[[#This Row],[6]],Table26789[[#This Row],[1]:[11]],0))-1)/(COUNTA(Table26789[[#This Row],[1]:[11]])-COUNTBLANK(Table26789[[#This Row],[1]:[11]])-1)))</f>
        <v/>
      </c>
      <c r="AE32" s="30" t="str" cm="1">
        <f t="array" ref="AE32">IF(Table26789[[#This Row],[7]]="","",Table26789[[#This Row],[Weight]:[Weight]]-(Table26789[[#This Row],[Weight]:[Weight]]*((_xlfn.XMATCH(Table26789[[#This Row],[7]],Table26789[[#This Row],[1]:[11]],0))-1)/(COUNTA(Table26789[[#This Row],[1]:[11]])-COUNTBLANK(Table26789[[#This Row],[1]:[11]])-1)))</f>
        <v/>
      </c>
      <c r="AF32" s="30" t="str" cm="1">
        <f t="array" ref="AF32">IF(Table26789[[#This Row],[8]]="","",Table26789[[#This Row],[Weight]:[Weight]]-(Table26789[[#This Row],[Weight]:[Weight]]*((_xlfn.XMATCH(Table26789[[#This Row],[8]],Table26789[[#This Row],[1]:[11]],0))-1)/(COUNTA(Table26789[[#This Row],[1]:[11]])-COUNTBLANK(Table26789[[#This Row],[1]:[11]])-1)))</f>
        <v/>
      </c>
      <c r="AG32" s="41" t="str" cm="1">
        <f t="array" ref="AG32">IF(Table26789[[#This Row],[9]]="","",Table26789[[#This Row],[Weight]:[Weight]]-(Table26789[[#This Row],[Weight]:[Weight]]*((_xlfn.XMATCH(Table26789[[#This Row],[9]],Table26789[[#This Row],[1]:[11]],0))-1)/(COUNTA(Table26789[[#This Row],[1]:[11]])-COUNTBLANK(Table26789[[#This Row],[1]:[11]])-1)))</f>
        <v/>
      </c>
      <c r="AH32" s="41" t="str" cm="1">
        <f t="array" ref="AH32">IF(Table26789[[#This Row],[10]]="","",Table26789[[#This Row],[Weight]:[Weight]]-(Table26789[[#This Row],[Weight]:[Weight]]*((_xlfn.XMATCH(Table26789[[#This Row],[10]],Table26789[[#This Row],[1]:[11]],0))-1)/(COUNTA(Table26789[[#This Row],[1]:[11]])-COUNTBLANK(Table26789[[#This Row],[1]:[11]])-1)))</f>
        <v/>
      </c>
      <c r="AI32" s="41" t="str" cm="1">
        <f t="array" ref="AI32">IF(Table26789[[#This Row],[11]]="","",Table26789[[#This Row],[Weight]:[Weight]]-(Table26789[[#This Row],[Weight]:[Weight]]*((_xlfn.XMATCH(Table26789[[#This Row],[11]],Table26789[[#This Row],[1]:[11]],0))-1)/(COUNTA(Table26789[[#This Row],[1]:[11]])-COUNTBLANK(Table26789[[#This Row],[1]:[11]])-1)))</f>
        <v/>
      </c>
    </row>
    <row r="33" spans="1:35" ht="108" x14ac:dyDescent="0.2">
      <c r="A33" s="195" t="s">
        <v>377</v>
      </c>
      <c r="B33" s="199" t="s">
        <v>378</v>
      </c>
      <c r="C33" s="199" t="s">
        <v>379</v>
      </c>
      <c r="D33" s="28"/>
      <c r="E33" s="21" t="s">
        <v>55</v>
      </c>
      <c r="F33" s="22" t="s">
        <v>106</v>
      </c>
      <c r="G33" s="23" cm="1">
        <f t="array" ref="G33">_xlfn.IFS(F33="","",F33="No interest",0,F33="Nice to have",1,F33="Useful",2,F33="Important",3,F33="Very important",4,F33="Critical",5,F33="Show stopper",6)</f>
        <v>5</v>
      </c>
      <c r="H33" s="24">
        <f t="shared" si="2"/>
        <v>8.0645161290322578E-3</v>
      </c>
      <c r="I33" s="25" t="s">
        <v>380</v>
      </c>
      <c r="J33" s="37" t="str" cm="1">
        <f t="array" ref="J33">_xlfn.TEXTJOIN(" "&amp;CHAR(10),,TEXT(SUBSTITUTE(Table26789[[#This Row],[12]:[22]],".",","),"0,00%"))</f>
        <v>0,00806451612903226 
0,00%</v>
      </c>
      <c r="K33" s="26" t="s">
        <v>381</v>
      </c>
      <c r="L33" s="27">
        <f>H33-(H33*((MATCH(Table26789[[#This Row],[Evaluators Response (SELECT)]],Table26789[[#This Row],[1]:[11]],0)-1)/(COUNTA(Table26789[[#This Row],[1]:[11]])-COUNTBLANK(Table26789[[#This Row],[1]:[11]])-1)))</f>
        <v>8.0645161290322578E-3</v>
      </c>
      <c r="M33" s="28"/>
      <c r="N33" s="29" t="str" cm="1">
        <f t="array" ref="N33">IFERROR(INDEX(_xlfn.UNIQUE(TRIM(_xlfn.TEXTSPLIT(Table26789[[#This Row],[Selection Options]:[Selection Options]],";"))),,N$11),"")</f>
        <v>(100%) Fully comply with requirement - The proposed solution does have DDoS protection mechanism</v>
      </c>
      <c r="O33" s="29" t="str" cm="1">
        <f t="array" ref="O33">IFERROR(INDEX(_xlfn.UNIQUE(TRIM(_xlfn.TEXTSPLIT(Table26789[[#This Row],[Selection Options]:[Selection Options]],";"))),,O$11),"")</f>
        <v xml:space="preserve">
(0%) No compliance - The proposed solution does not have DDoS protection mechanism.</v>
      </c>
      <c r="P33" s="29" t="str" cm="1">
        <f t="array" ref="P33">IFERROR(INDEX(_xlfn.UNIQUE(TRIM(_xlfn.TEXTSPLIT(Table26789[[#This Row],[Selection Options]:[Selection Options]],";"))),,P$11),"")</f>
        <v/>
      </c>
      <c r="Q33" s="29" t="str" cm="1">
        <f t="array" ref="Q33">IFERROR(INDEX(_xlfn.UNIQUE(TRIM(_xlfn.TEXTSPLIT(Table26789[[#This Row],[Selection Options]:[Selection Options]],";"))),,Q$11),"")</f>
        <v/>
      </c>
      <c r="R33" s="29" t="str" cm="1">
        <f t="array" ref="R33">IFERROR(INDEX(_xlfn.UNIQUE(TRIM(_xlfn.TEXTSPLIT(Table26789[[#This Row],[Selection Options]:[Selection Options]],";"))),,R$11),"")</f>
        <v/>
      </c>
      <c r="S33" s="29" t="str" cm="1">
        <f t="array" ref="S33">IFERROR(INDEX(_xlfn.UNIQUE(TRIM(_xlfn.TEXTSPLIT(Table26789[[#This Row],[Selection Options]:[Selection Options]],";"))),,S$11),"")</f>
        <v/>
      </c>
      <c r="T33" s="29" t="str" cm="1">
        <f t="array" ref="T33">IFERROR(INDEX(_xlfn.UNIQUE(TRIM(_xlfn.TEXTSPLIT(Table26789[[#This Row],[Selection Options]:[Selection Options]],";"))),,T$11),"")</f>
        <v/>
      </c>
      <c r="U33" s="29" t="str" cm="1">
        <f t="array" ref="U33">IFERROR(INDEX(_xlfn.UNIQUE(TRIM(_xlfn.TEXTSPLIT(Table26789[[#This Row],[Selection Options]:[Selection Options]],";"))),,U$11),"")</f>
        <v/>
      </c>
      <c r="V33" s="29" t="str" cm="1">
        <f t="array" ref="V33">IFERROR(INDEX(_xlfn.UNIQUE(TRIM(_xlfn.TEXTSPLIT(Table26789[[#This Row],[Selection Options]:[Selection Options]],";"))),,V$11),"")</f>
        <v/>
      </c>
      <c r="W33" s="29" t="str" cm="1">
        <f t="array" ref="W33">IFERROR(INDEX(_xlfn.UNIQUE(TRIM(_xlfn.TEXTSPLIT(Table26789[[#This Row],[Selection Options]:[Selection Options]],";"))),,W$11),"")</f>
        <v/>
      </c>
      <c r="X33" s="29" t="str" cm="1">
        <f t="array" ref="X33">IFERROR(INDEX(_xlfn.UNIQUE(TRIM(_xlfn.TEXTSPLIT(Table26789[[#This Row],[Selection Options]:[Selection Options]],";"))),,X$11),"")</f>
        <v/>
      </c>
      <c r="Y33" s="30" cm="1">
        <f t="array" ref="Y33">IF(Table26789[[#This Row],[1]]="","",Table26789[[#This Row],[Weight]:[Weight]]-(Table26789[[#This Row],[Weight]:[Weight]]*((_xlfn.XMATCH(Table26789[[#This Row],[1]],Table26789[[#This Row],[1]:[11]],0))-1)/(COUNTA(Table26789[[#This Row],[1]:[11]])-COUNTBLANK(Table26789[[#This Row],[1]:[11]])-1)))</f>
        <v>8.0645161290322578E-3</v>
      </c>
      <c r="Z33" s="30" cm="1">
        <f t="array" ref="Z33">IF(Table26789[[#This Row],[2]]="","",Table26789[[#This Row],[Weight]:[Weight]]-(Table26789[[#This Row],[Weight]:[Weight]]*((_xlfn.XMATCH(Table26789[[#This Row],[2]],Table26789[[#This Row],[1]:[11]],0))-1)/(COUNTA(Table26789[[#This Row],[1]:[11]])-COUNTBLANK(Table26789[[#This Row],[1]:[11]])-1)))</f>
        <v>0</v>
      </c>
      <c r="AA33" s="30" t="str" cm="1">
        <f t="array" ref="AA33">IF(Table26789[[#This Row],[3]]="","",Table26789[[#This Row],[Weight]:[Weight]]-(Table26789[[#This Row],[Weight]:[Weight]]*((_xlfn.XMATCH(Table26789[[#This Row],[3]],Table26789[[#This Row],[1]:[11]],0))-1)/(COUNTA(Table26789[[#This Row],[1]:[11]])-COUNTBLANK(Table26789[[#This Row],[1]:[11]])-1)))</f>
        <v/>
      </c>
      <c r="AB33" s="30" t="str" cm="1">
        <f t="array" ref="AB33">IF(Table26789[[#This Row],[4]]="","",Table26789[[#This Row],[Weight]:[Weight]]-(Table26789[[#This Row],[Weight]:[Weight]]*((_xlfn.XMATCH(Table26789[[#This Row],[4]],Table26789[[#This Row],[1]:[11]],0))-1)/(COUNTA(Table26789[[#This Row],[1]:[11]])-COUNTBLANK(Table26789[[#This Row],[1]:[11]])-1)))</f>
        <v/>
      </c>
      <c r="AC33" s="30" t="str" cm="1">
        <f t="array" ref="AC33">IF(Table26789[[#This Row],[5]]="","",Table26789[[#This Row],[Weight]:[Weight]]-(Table26789[[#This Row],[Weight]:[Weight]]*((_xlfn.XMATCH(Table26789[[#This Row],[5]],Table26789[[#This Row],[1]:[11]],0))-1)/(COUNTA(Table26789[[#This Row],[1]:[11]])-COUNTBLANK(Table26789[[#This Row],[1]:[11]])-1)))</f>
        <v/>
      </c>
      <c r="AD33" s="30" t="str" cm="1">
        <f t="array" ref="AD33">IF(Table26789[[#This Row],[6]]="","",Table26789[[#This Row],[Weight]:[Weight]]-(Table26789[[#This Row],[Weight]:[Weight]]*((_xlfn.XMATCH(Table26789[[#This Row],[6]],Table26789[[#This Row],[1]:[11]],0))-1)/(COUNTA(Table26789[[#This Row],[1]:[11]])-COUNTBLANK(Table26789[[#This Row],[1]:[11]])-1)))</f>
        <v/>
      </c>
      <c r="AE33" s="30" t="str" cm="1">
        <f t="array" ref="AE33">IF(Table26789[[#This Row],[7]]="","",Table26789[[#This Row],[Weight]:[Weight]]-(Table26789[[#This Row],[Weight]:[Weight]]*((_xlfn.XMATCH(Table26789[[#This Row],[7]],Table26789[[#This Row],[1]:[11]],0))-1)/(COUNTA(Table26789[[#This Row],[1]:[11]])-COUNTBLANK(Table26789[[#This Row],[1]:[11]])-1)))</f>
        <v/>
      </c>
      <c r="AF33" s="30" t="str" cm="1">
        <f t="array" ref="AF33">IF(Table26789[[#This Row],[8]]="","",Table26789[[#This Row],[Weight]:[Weight]]-(Table26789[[#This Row],[Weight]:[Weight]]*((_xlfn.XMATCH(Table26789[[#This Row],[8]],Table26789[[#This Row],[1]:[11]],0))-1)/(COUNTA(Table26789[[#This Row],[1]:[11]])-COUNTBLANK(Table26789[[#This Row],[1]:[11]])-1)))</f>
        <v/>
      </c>
      <c r="AG33" s="41" t="str" cm="1">
        <f t="array" ref="AG33">IF(Table26789[[#This Row],[9]]="","",Table26789[[#This Row],[Weight]:[Weight]]-(Table26789[[#This Row],[Weight]:[Weight]]*((_xlfn.XMATCH(Table26789[[#This Row],[9]],Table26789[[#This Row],[1]:[11]],0))-1)/(COUNTA(Table26789[[#This Row],[1]:[11]])-COUNTBLANK(Table26789[[#This Row],[1]:[11]])-1)))</f>
        <v/>
      </c>
      <c r="AH33" s="41" t="str" cm="1">
        <f t="array" ref="AH33">IF(Table26789[[#This Row],[10]]="","",Table26789[[#This Row],[Weight]:[Weight]]-(Table26789[[#This Row],[Weight]:[Weight]]*((_xlfn.XMATCH(Table26789[[#This Row],[10]],Table26789[[#This Row],[1]:[11]],0))-1)/(COUNTA(Table26789[[#This Row],[1]:[11]])-COUNTBLANK(Table26789[[#This Row],[1]:[11]])-1)))</f>
        <v/>
      </c>
      <c r="AI33" s="41" t="str" cm="1">
        <f t="array" ref="AI33">IF(Table26789[[#This Row],[11]]="","",Table26789[[#This Row],[Weight]:[Weight]]-(Table26789[[#This Row],[Weight]:[Weight]]*((_xlfn.XMATCH(Table26789[[#This Row],[11]],Table26789[[#This Row],[1]:[11]],0))-1)/(COUNTA(Table26789[[#This Row],[1]:[11]])-COUNTBLANK(Table26789[[#This Row],[1]:[11]])-1)))</f>
        <v/>
      </c>
    </row>
    <row r="34" spans="1:35" ht="84" x14ac:dyDescent="0.2">
      <c r="A34" s="195" t="s">
        <v>382</v>
      </c>
      <c r="B34" s="199" t="s">
        <v>383</v>
      </c>
      <c r="C34" s="199" t="s">
        <v>384</v>
      </c>
      <c r="D34" s="28"/>
      <c r="E34" s="21" t="s">
        <v>55</v>
      </c>
      <c r="F34" s="22" t="s">
        <v>106</v>
      </c>
      <c r="G34" s="23" cm="1">
        <f t="array" ref="G34">_xlfn.IFS(F34="","",F34="No interest",0,F34="Nice to have",1,F34="Useful",2,F34="Important",3,F34="Very important",4,F34="Critical",5,F34="Show stopper",6)</f>
        <v>5</v>
      </c>
      <c r="H34" s="24">
        <f t="shared" si="2"/>
        <v>8.0645161290322578E-3</v>
      </c>
      <c r="I34" s="25" t="s">
        <v>385</v>
      </c>
      <c r="J34" s="37" t="str" cm="1">
        <f t="array" ref="J34">_xlfn.TEXTJOIN(" "&amp;CHAR(10),,TEXT(SUBSTITUTE(Table26789[[#This Row],[12]:[22]],".",","),"0,00%"))</f>
        <v>0,00806451612903226 
0,00%</v>
      </c>
      <c r="K34" s="26" t="s">
        <v>386</v>
      </c>
      <c r="L34" s="27">
        <f>H34-(H34*((MATCH(Table26789[[#This Row],[Evaluators Response (SELECT)]],Table26789[[#This Row],[1]:[11]],0)-1)/(COUNTA(Table26789[[#This Row],[1]:[11]])-COUNTBLANK(Table26789[[#This Row],[1]:[11]])-1)))</f>
        <v>8.0645161290322578E-3</v>
      </c>
      <c r="M34" s="28"/>
      <c r="N34" s="29" t="str" cm="1">
        <f t="array" ref="N34">IFERROR(INDEX(_xlfn.UNIQUE(TRIM(_xlfn.TEXTSPLIT(Table26789[[#This Row],[Selection Options]:[Selection Options]],";"))),,N$11),"")</f>
        <v>(100%) Fully comply with requirement -The proposed solution does employ WAF</v>
      </c>
      <c r="O34" s="29" t="str" cm="1">
        <f t="array" ref="O34">IFERROR(INDEX(_xlfn.UNIQUE(TRIM(_xlfn.TEXTSPLIT(Table26789[[#This Row],[Selection Options]:[Selection Options]],";"))),,O$11),"")</f>
        <v xml:space="preserve">
(0%) No compliance - The proposed solution does not empoy WAF.</v>
      </c>
      <c r="P34" s="29" t="str" cm="1">
        <f t="array" ref="P34">IFERROR(INDEX(_xlfn.UNIQUE(TRIM(_xlfn.TEXTSPLIT(Table26789[[#This Row],[Selection Options]:[Selection Options]],";"))),,P$11),"")</f>
        <v/>
      </c>
      <c r="Q34" s="29" t="str" cm="1">
        <f t="array" ref="Q34">IFERROR(INDEX(_xlfn.UNIQUE(TRIM(_xlfn.TEXTSPLIT(Table26789[[#This Row],[Selection Options]:[Selection Options]],";"))),,Q$11),"")</f>
        <v/>
      </c>
      <c r="R34" s="29" t="str" cm="1">
        <f t="array" ref="R34">IFERROR(INDEX(_xlfn.UNIQUE(TRIM(_xlfn.TEXTSPLIT(Table26789[[#This Row],[Selection Options]:[Selection Options]],";"))),,R$11),"")</f>
        <v/>
      </c>
      <c r="S34" s="29" t="str" cm="1">
        <f t="array" ref="S34">IFERROR(INDEX(_xlfn.UNIQUE(TRIM(_xlfn.TEXTSPLIT(Table26789[[#This Row],[Selection Options]:[Selection Options]],";"))),,S$11),"")</f>
        <v/>
      </c>
      <c r="T34" s="29" t="str" cm="1">
        <f t="array" ref="T34">IFERROR(INDEX(_xlfn.UNIQUE(TRIM(_xlfn.TEXTSPLIT(Table26789[[#This Row],[Selection Options]:[Selection Options]],";"))),,T$11),"")</f>
        <v/>
      </c>
      <c r="U34" s="29" t="str" cm="1">
        <f t="array" ref="U34">IFERROR(INDEX(_xlfn.UNIQUE(TRIM(_xlfn.TEXTSPLIT(Table26789[[#This Row],[Selection Options]:[Selection Options]],";"))),,U$11),"")</f>
        <v/>
      </c>
      <c r="V34" s="29" t="str" cm="1">
        <f t="array" ref="V34">IFERROR(INDEX(_xlfn.UNIQUE(TRIM(_xlfn.TEXTSPLIT(Table26789[[#This Row],[Selection Options]:[Selection Options]],";"))),,V$11),"")</f>
        <v/>
      </c>
      <c r="W34" s="29" t="str" cm="1">
        <f t="array" ref="W34">IFERROR(INDEX(_xlfn.UNIQUE(TRIM(_xlfn.TEXTSPLIT(Table26789[[#This Row],[Selection Options]:[Selection Options]],";"))),,W$11),"")</f>
        <v/>
      </c>
      <c r="X34" s="29" t="str" cm="1">
        <f t="array" ref="X34">IFERROR(INDEX(_xlfn.UNIQUE(TRIM(_xlfn.TEXTSPLIT(Table26789[[#This Row],[Selection Options]:[Selection Options]],";"))),,X$11),"")</f>
        <v/>
      </c>
      <c r="Y34" s="30" cm="1">
        <f t="array" ref="Y34">IF(Table26789[[#This Row],[1]]="","",Table26789[[#This Row],[Weight]:[Weight]]-(Table26789[[#This Row],[Weight]:[Weight]]*((_xlfn.XMATCH(Table26789[[#This Row],[1]],Table26789[[#This Row],[1]:[11]],0))-1)/(COUNTA(Table26789[[#This Row],[1]:[11]])-COUNTBLANK(Table26789[[#This Row],[1]:[11]])-1)))</f>
        <v>8.0645161290322578E-3</v>
      </c>
      <c r="Z34" s="30" cm="1">
        <f t="array" ref="Z34">IF(Table26789[[#This Row],[2]]="","",Table26789[[#This Row],[Weight]:[Weight]]-(Table26789[[#This Row],[Weight]:[Weight]]*((_xlfn.XMATCH(Table26789[[#This Row],[2]],Table26789[[#This Row],[1]:[11]],0))-1)/(COUNTA(Table26789[[#This Row],[1]:[11]])-COUNTBLANK(Table26789[[#This Row],[1]:[11]])-1)))</f>
        <v>0</v>
      </c>
      <c r="AA34" s="30" t="str" cm="1">
        <f t="array" ref="AA34">IF(Table26789[[#This Row],[3]]="","",Table26789[[#This Row],[Weight]:[Weight]]-(Table26789[[#This Row],[Weight]:[Weight]]*((_xlfn.XMATCH(Table26789[[#This Row],[3]],Table26789[[#This Row],[1]:[11]],0))-1)/(COUNTA(Table26789[[#This Row],[1]:[11]])-COUNTBLANK(Table26789[[#This Row],[1]:[11]])-1)))</f>
        <v/>
      </c>
      <c r="AB34" s="30" t="str" cm="1">
        <f t="array" ref="AB34">IF(Table26789[[#This Row],[4]]="","",Table26789[[#This Row],[Weight]:[Weight]]-(Table26789[[#This Row],[Weight]:[Weight]]*((_xlfn.XMATCH(Table26789[[#This Row],[4]],Table26789[[#This Row],[1]:[11]],0))-1)/(COUNTA(Table26789[[#This Row],[1]:[11]])-COUNTBLANK(Table26789[[#This Row],[1]:[11]])-1)))</f>
        <v/>
      </c>
      <c r="AC34" s="30" t="str" cm="1">
        <f t="array" ref="AC34">IF(Table26789[[#This Row],[5]]="","",Table26789[[#This Row],[Weight]:[Weight]]-(Table26789[[#This Row],[Weight]:[Weight]]*((_xlfn.XMATCH(Table26789[[#This Row],[5]],Table26789[[#This Row],[1]:[11]],0))-1)/(COUNTA(Table26789[[#This Row],[1]:[11]])-COUNTBLANK(Table26789[[#This Row],[1]:[11]])-1)))</f>
        <v/>
      </c>
      <c r="AD34" s="30" t="str" cm="1">
        <f t="array" ref="AD34">IF(Table26789[[#This Row],[6]]="","",Table26789[[#This Row],[Weight]:[Weight]]-(Table26789[[#This Row],[Weight]:[Weight]]*((_xlfn.XMATCH(Table26789[[#This Row],[6]],Table26789[[#This Row],[1]:[11]],0))-1)/(COUNTA(Table26789[[#This Row],[1]:[11]])-COUNTBLANK(Table26789[[#This Row],[1]:[11]])-1)))</f>
        <v/>
      </c>
      <c r="AE34" s="30" t="str" cm="1">
        <f t="array" ref="AE34">IF(Table26789[[#This Row],[7]]="","",Table26789[[#This Row],[Weight]:[Weight]]-(Table26789[[#This Row],[Weight]:[Weight]]*((_xlfn.XMATCH(Table26789[[#This Row],[7]],Table26789[[#This Row],[1]:[11]],0))-1)/(COUNTA(Table26789[[#This Row],[1]:[11]])-COUNTBLANK(Table26789[[#This Row],[1]:[11]])-1)))</f>
        <v/>
      </c>
      <c r="AF34" s="30" t="str" cm="1">
        <f t="array" ref="AF34">IF(Table26789[[#This Row],[8]]="","",Table26789[[#This Row],[Weight]:[Weight]]-(Table26789[[#This Row],[Weight]:[Weight]]*((_xlfn.XMATCH(Table26789[[#This Row],[8]],Table26789[[#This Row],[1]:[11]],0))-1)/(COUNTA(Table26789[[#This Row],[1]:[11]])-COUNTBLANK(Table26789[[#This Row],[1]:[11]])-1)))</f>
        <v/>
      </c>
      <c r="AG34" s="41" t="str" cm="1">
        <f t="array" ref="AG34">IF(Table26789[[#This Row],[9]]="","",Table26789[[#This Row],[Weight]:[Weight]]-(Table26789[[#This Row],[Weight]:[Weight]]*((_xlfn.XMATCH(Table26789[[#This Row],[9]],Table26789[[#This Row],[1]:[11]],0))-1)/(COUNTA(Table26789[[#This Row],[1]:[11]])-COUNTBLANK(Table26789[[#This Row],[1]:[11]])-1)))</f>
        <v/>
      </c>
      <c r="AH34" s="41" t="str" cm="1">
        <f t="array" ref="AH34">IF(Table26789[[#This Row],[10]]="","",Table26789[[#This Row],[Weight]:[Weight]]-(Table26789[[#This Row],[Weight]:[Weight]]*((_xlfn.XMATCH(Table26789[[#This Row],[10]],Table26789[[#This Row],[1]:[11]],0))-1)/(COUNTA(Table26789[[#This Row],[1]:[11]])-COUNTBLANK(Table26789[[#This Row],[1]:[11]])-1)))</f>
        <v/>
      </c>
      <c r="AI34" s="41" t="str" cm="1">
        <f t="array" ref="AI34">IF(Table26789[[#This Row],[11]]="","",Table26789[[#This Row],[Weight]:[Weight]]-(Table26789[[#This Row],[Weight]:[Weight]]*((_xlfn.XMATCH(Table26789[[#This Row],[11]],Table26789[[#This Row],[1]:[11]],0))-1)/(COUNTA(Table26789[[#This Row],[1]:[11]])-COUNTBLANK(Table26789[[#This Row],[1]:[11]])-1)))</f>
        <v/>
      </c>
    </row>
    <row r="35" spans="1:35" ht="156" x14ac:dyDescent="0.2">
      <c r="A35" s="195" t="s">
        <v>387</v>
      </c>
      <c r="B35" s="199" t="s">
        <v>388</v>
      </c>
      <c r="C35" s="199" t="s">
        <v>389</v>
      </c>
      <c r="D35" s="28"/>
      <c r="E35" s="21" t="s">
        <v>55</v>
      </c>
      <c r="F35" s="22" t="s">
        <v>106</v>
      </c>
      <c r="G35" s="23" cm="1">
        <f t="array" ref="G35">_xlfn.IFS(F35="","",F35="No interest",0,F35="Nice to have",1,F35="Useful",2,F35="Important",3,F35="Very important",4,F35="Critical",5,F35="Show stopper",6)</f>
        <v>5</v>
      </c>
      <c r="H35" s="24">
        <f t="shared" si="2"/>
        <v>8.0645161290322578E-3</v>
      </c>
      <c r="I35" s="25" t="s">
        <v>390</v>
      </c>
      <c r="J35" s="37" t="str" cm="1">
        <f t="array" ref="J35">_xlfn.TEXTJOIN(" "&amp;CHAR(10),,TEXT(SUBSTITUTE(Table26789[[#This Row],[12]:[22]],".",","),"0,00%"))</f>
        <v>0,00806451612903226 
0,00%</v>
      </c>
      <c r="K35" s="26" t="s">
        <v>391</v>
      </c>
      <c r="L35" s="27">
        <f>H35-(H35*((MATCH(Table26789[[#This Row],[Evaluators Response (SELECT)]],Table26789[[#This Row],[1]:[11]],0)-1)/(COUNTA(Table26789[[#This Row],[1]:[11]])-COUNTBLANK(Table26789[[#This Row],[1]:[11]])-1)))</f>
        <v>8.0645161290322578E-3</v>
      </c>
      <c r="M35" s="28"/>
      <c r="N35" s="29" t="str" cm="1">
        <f t="array" ref="N35">IFERROR(INDEX(_xlfn.UNIQUE(TRIM(_xlfn.TEXTSPLIT(Table26789[[#This Row],[Selection Options]:[Selection Options]],";"))),,N$11),"")</f>
        <v>(100%) Fully comply with requirement - The proposed solution does support ESB, API's and IPaaS for security, logging and monitoring</v>
      </c>
      <c r="O35" s="29" t="str" cm="1">
        <f t="array" ref="O35">IFERROR(INDEX(_xlfn.UNIQUE(TRIM(_xlfn.TEXTSPLIT(Table26789[[#This Row],[Selection Options]:[Selection Options]],";"))),,O$11),"")</f>
        <v xml:space="preserve">
(0%) No compliance - The proposed solution does not support ESB, API's and IPaaS for security, logging and monitoring.</v>
      </c>
      <c r="P35" s="29" t="str" cm="1">
        <f t="array" ref="P35">IFERROR(INDEX(_xlfn.UNIQUE(TRIM(_xlfn.TEXTSPLIT(Table26789[[#This Row],[Selection Options]:[Selection Options]],";"))),,P$11),"")</f>
        <v/>
      </c>
      <c r="Q35" s="29" t="str" cm="1">
        <f t="array" ref="Q35">IFERROR(INDEX(_xlfn.UNIQUE(TRIM(_xlfn.TEXTSPLIT(Table26789[[#This Row],[Selection Options]:[Selection Options]],";"))),,Q$11),"")</f>
        <v/>
      </c>
      <c r="R35" s="29" t="str" cm="1">
        <f t="array" ref="R35">IFERROR(INDEX(_xlfn.UNIQUE(TRIM(_xlfn.TEXTSPLIT(Table26789[[#This Row],[Selection Options]:[Selection Options]],";"))),,R$11),"")</f>
        <v/>
      </c>
      <c r="S35" s="29" t="str" cm="1">
        <f t="array" ref="S35">IFERROR(INDEX(_xlfn.UNIQUE(TRIM(_xlfn.TEXTSPLIT(Table26789[[#This Row],[Selection Options]:[Selection Options]],";"))),,S$11),"")</f>
        <v/>
      </c>
      <c r="T35" s="29" t="str" cm="1">
        <f t="array" ref="T35">IFERROR(INDEX(_xlfn.UNIQUE(TRIM(_xlfn.TEXTSPLIT(Table26789[[#This Row],[Selection Options]:[Selection Options]],";"))),,T$11),"")</f>
        <v/>
      </c>
      <c r="U35" s="29" t="str" cm="1">
        <f t="array" ref="U35">IFERROR(INDEX(_xlfn.UNIQUE(TRIM(_xlfn.TEXTSPLIT(Table26789[[#This Row],[Selection Options]:[Selection Options]],";"))),,U$11),"")</f>
        <v/>
      </c>
      <c r="V35" s="29" t="str" cm="1">
        <f t="array" ref="V35">IFERROR(INDEX(_xlfn.UNIQUE(TRIM(_xlfn.TEXTSPLIT(Table26789[[#This Row],[Selection Options]:[Selection Options]],";"))),,V$11),"")</f>
        <v/>
      </c>
      <c r="W35" s="29" t="str" cm="1">
        <f t="array" ref="W35">IFERROR(INDEX(_xlfn.UNIQUE(TRIM(_xlfn.TEXTSPLIT(Table26789[[#This Row],[Selection Options]:[Selection Options]],";"))),,W$11),"")</f>
        <v/>
      </c>
      <c r="X35" s="29" t="str" cm="1">
        <f t="array" ref="X35">IFERROR(INDEX(_xlfn.UNIQUE(TRIM(_xlfn.TEXTSPLIT(Table26789[[#This Row],[Selection Options]:[Selection Options]],";"))),,X$11),"")</f>
        <v/>
      </c>
      <c r="Y35" s="30" cm="1">
        <f t="array" ref="Y35">IF(Table26789[[#This Row],[1]]="","",Table26789[[#This Row],[Weight]:[Weight]]-(Table26789[[#This Row],[Weight]:[Weight]]*((_xlfn.XMATCH(Table26789[[#This Row],[1]],Table26789[[#This Row],[1]:[11]],0))-1)/(COUNTA(Table26789[[#This Row],[1]:[11]])-COUNTBLANK(Table26789[[#This Row],[1]:[11]])-1)))</f>
        <v>8.0645161290322578E-3</v>
      </c>
      <c r="Z35" s="30" cm="1">
        <f t="array" ref="Z35">IF(Table26789[[#This Row],[2]]="","",Table26789[[#This Row],[Weight]:[Weight]]-(Table26789[[#This Row],[Weight]:[Weight]]*((_xlfn.XMATCH(Table26789[[#This Row],[2]],Table26789[[#This Row],[1]:[11]],0))-1)/(COUNTA(Table26789[[#This Row],[1]:[11]])-COUNTBLANK(Table26789[[#This Row],[1]:[11]])-1)))</f>
        <v>0</v>
      </c>
      <c r="AA35" s="30" t="str" cm="1">
        <f t="array" ref="AA35">IF(Table26789[[#This Row],[3]]="","",Table26789[[#This Row],[Weight]:[Weight]]-(Table26789[[#This Row],[Weight]:[Weight]]*((_xlfn.XMATCH(Table26789[[#This Row],[3]],Table26789[[#This Row],[1]:[11]],0))-1)/(COUNTA(Table26789[[#This Row],[1]:[11]])-COUNTBLANK(Table26789[[#This Row],[1]:[11]])-1)))</f>
        <v/>
      </c>
      <c r="AB35" s="30" t="str" cm="1">
        <f t="array" ref="AB35">IF(Table26789[[#This Row],[4]]="","",Table26789[[#This Row],[Weight]:[Weight]]-(Table26789[[#This Row],[Weight]:[Weight]]*((_xlfn.XMATCH(Table26789[[#This Row],[4]],Table26789[[#This Row],[1]:[11]],0))-1)/(COUNTA(Table26789[[#This Row],[1]:[11]])-COUNTBLANK(Table26789[[#This Row],[1]:[11]])-1)))</f>
        <v/>
      </c>
      <c r="AC35" s="30" t="str" cm="1">
        <f t="array" ref="AC35">IF(Table26789[[#This Row],[5]]="","",Table26789[[#This Row],[Weight]:[Weight]]-(Table26789[[#This Row],[Weight]:[Weight]]*((_xlfn.XMATCH(Table26789[[#This Row],[5]],Table26789[[#This Row],[1]:[11]],0))-1)/(COUNTA(Table26789[[#This Row],[1]:[11]])-COUNTBLANK(Table26789[[#This Row],[1]:[11]])-1)))</f>
        <v/>
      </c>
      <c r="AD35" s="30" t="str" cm="1">
        <f t="array" ref="AD35">IF(Table26789[[#This Row],[6]]="","",Table26789[[#This Row],[Weight]:[Weight]]-(Table26789[[#This Row],[Weight]:[Weight]]*((_xlfn.XMATCH(Table26789[[#This Row],[6]],Table26789[[#This Row],[1]:[11]],0))-1)/(COUNTA(Table26789[[#This Row],[1]:[11]])-COUNTBLANK(Table26789[[#This Row],[1]:[11]])-1)))</f>
        <v/>
      </c>
      <c r="AE35" s="30" t="str" cm="1">
        <f t="array" ref="AE35">IF(Table26789[[#This Row],[7]]="","",Table26789[[#This Row],[Weight]:[Weight]]-(Table26789[[#This Row],[Weight]:[Weight]]*((_xlfn.XMATCH(Table26789[[#This Row],[7]],Table26789[[#This Row],[1]:[11]],0))-1)/(COUNTA(Table26789[[#This Row],[1]:[11]])-COUNTBLANK(Table26789[[#This Row],[1]:[11]])-1)))</f>
        <v/>
      </c>
      <c r="AF35" s="30" t="str" cm="1">
        <f t="array" ref="AF35">IF(Table26789[[#This Row],[8]]="","",Table26789[[#This Row],[Weight]:[Weight]]-(Table26789[[#This Row],[Weight]:[Weight]]*((_xlfn.XMATCH(Table26789[[#This Row],[8]],Table26789[[#This Row],[1]:[11]],0))-1)/(COUNTA(Table26789[[#This Row],[1]:[11]])-COUNTBLANK(Table26789[[#This Row],[1]:[11]])-1)))</f>
        <v/>
      </c>
      <c r="AG35" s="41" t="str" cm="1">
        <f t="array" ref="AG35">IF(Table26789[[#This Row],[9]]="","",Table26789[[#This Row],[Weight]:[Weight]]-(Table26789[[#This Row],[Weight]:[Weight]]*((_xlfn.XMATCH(Table26789[[#This Row],[9]],Table26789[[#This Row],[1]:[11]],0))-1)/(COUNTA(Table26789[[#This Row],[1]:[11]])-COUNTBLANK(Table26789[[#This Row],[1]:[11]])-1)))</f>
        <v/>
      </c>
      <c r="AH35" s="41" t="str" cm="1">
        <f t="array" ref="AH35">IF(Table26789[[#This Row],[10]]="","",Table26789[[#This Row],[Weight]:[Weight]]-(Table26789[[#This Row],[Weight]:[Weight]]*((_xlfn.XMATCH(Table26789[[#This Row],[10]],Table26789[[#This Row],[1]:[11]],0))-1)/(COUNTA(Table26789[[#This Row],[1]:[11]])-COUNTBLANK(Table26789[[#This Row],[1]:[11]])-1)))</f>
        <v/>
      </c>
      <c r="AI35" s="41" t="str" cm="1">
        <f t="array" ref="AI35">IF(Table26789[[#This Row],[11]]="","",Table26789[[#This Row],[Weight]:[Weight]]-(Table26789[[#This Row],[Weight]:[Weight]]*((_xlfn.XMATCH(Table26789[[#This Row],[11]],Table26789[[#This Row],[1]:[11]],0))-1)/(COUNTA(Table26789[[#This Row],[1]:[11]])-COUNTBLANK(Table26789[[#This Row],[1]:[11]])-1)))</f>
        <v/>
      </c>
    </row>
    <row r="36" spans="1:35" ht="108" x14ac:dyDescent="0.2">
      <c r="A36" s="195" t="s">
        <v>392</v>
      </c>
      <c r="B36" s="199" t="s">
        <v>393</v>
      </c>
      <c r="C36" s="199" t="s">
        <v>394</v>
      </c>
      <c r="D36" s="28"/>
      <c r="E36" s="21" t="s">
        <v>55</v>
      </c>
      <c r="F36" s="22" t="s">
        <v>106</v>
      </c>
      <c r="G36" s="23" cm="1">
        <f t="array" ref="G36">_xlfn.IFS(F36="","",F36="No interest",0,F36="Nice to have",1,F36="Useful",2,F36="Important",3,F36="Very important",4,F36="Critical",5,F36="Show stopper",6)</f>
        <v>5</v>
      </c>
      <c r="H36" s="24">
        <f t="shared" si="2"/>
        <v>8.0645161290322578E-3</v>
      </c>
      <c r="I36" s="25" t="s">
        <v>395</v>
      </c>
      <c r="J36" s="37" t="str" cm="1">
        <f t="array" ref="J36">_xlfn.TEXTJOIN(" "&amp;CHAR(10),,TEXT(SUBSTITUTE(Table26789[[#This Row],[12]:[22]],".",","),"0,00%"))</f>
        <v>0,00806451612903226 
0,00%</v>
      </c>
      <c r="K36" s="26" t="s">
        <v>396</v>
      </c>
      <c r="L36" s="27">
        <f>H36-(H36*((MATCH(Table26789[[#This Row],[Evaluators Response (SELECT)]],Table26789[[#This Row],[1]:[11]],0)-1)/(COUNTA(Table26789[[#This Row],[1]:[11]])-COUNTBLANK(Table26789[[#This Row],[1]:[11]])-1)))</f>
        <v>8.0645161290322578E-3</v>
      </c>
      <c r="M36" s="28"/>
      <c r="N36" s="29" t="str" cm="1">
        <f t="array" ref="N36">IFERROR(INDEX(_xlfn.UNIQUE(TRIM(_xlfn.TEXTSPLIT(Table26789[[#This Row],[Selection Options]:[Selection Options]],";"))),,N$11),"")</f>
        <v>(100%) Fully comply with requirement - The proposed solution does have e-Discovery capability</v>
      </c>
      <c r="O36" s="29" t="str" cm="1">
        <f t="array" ref="O36">IFERROR(INDEX(_xlfn.UNIQUE(TRIM(_xlfn.TEXTSPLIT(Table26789[[#This Row],[Selection Options]:[Selection Options]],";"))),,O$11),"")</f>
        <v xml:space="preserve">
(0%) No compliance - The proposed solution does not have e-Discovery capability.</v>
      </c>
      <c r="P36" s="29" t="str" cm="1">
        <f t="array" ref="P36">IFERROR(INDEX(_xlfn.UNIQUE(TRIM(_xlfn.TEXTSPLIT(Table26789[[#This Row],[Selection Options]:[Selection Options]],";"))),,P$11),"")</f>
        <v/>
      </c>
      <c r="Q36" s="29" t="str" cm="1">
        <f t="array" ref="Q36">IFERROR(INDEX(_xlfn.UNIQUE(TRIM(_xlfn.TEXTSPLIT(Table26789[[#This Row],[Selection Options]:[Selection Options]],";"))),,Q$11),"")</f>
        <v/>
      </c>
      <c r="R36" s="29" t="str" cm="1">
        <f t="array" ref="R36">IFERROR(INDEX(_xlfn.UNIQUE(TRIM(_xlfn.TEXTSPLIT(Table26789[[#This Row],[Selection Options]:[Selection Options]],";"))),,R$11),"")</f>
        <v/>
      </c>
      <c r="S36" s="29" t="str" cm="1">
        <f t="array" ref="S36">IFERROR(INDEX(_xlfn.UNIQUE(TRIM(_xlfn.TEXTSPLIT(Table26789[[#This Row],[Selection Options]:[Selection Options]],";"))),,S$11),"")</f>
        <v/>
      </c>
      <c r="T36" s="29" t="str" cm="1">
        <f t="array" ref="T36">IFERROR(INDEX(_xlfn.UNIQUE(TRIM(_xlfn.TEXTSPLIT(Table26789[[#This Row],[Selection Options]:[Selection Options]],";"))),,T$11),"")</f>
        <v/>
      </c>
      <c r="U36" s="29" t="str" cm="1">
        <f t="array" ref="U36">IFERROR(INDEX(_xlfn.UNIQUE(TRIM(_xlfn.TEXTSPLIT(Table26789[[#This Row],[Selection Options]:[Selection Options]],";"))),,U$11),"")</f>
        <v/>
      </c>
      <c r="V36" s="29" t="str" cm="1">
        <f t="array" ref="V36">IFERROR(INDEX(_xlfn.UNIQUE(TRIM(_xlfn.TEXTSPLIT(Table26789[[#This Row],[Selection Options]:[Selection Options]],";"))),,V$11),"")</f>
        <v/>
      </c>
      <c r="W36" s="29" t="str" cm="1">
        <f t="array" ref="W36">IFERROR(INDEX(_xlfn.UNIQUE(TRIM(_xlfn.TEXTSPLIT(Table26789[[#This Row],[Selection Options]:[Selection Options]],";"))),,W$11),"")</f>
        <v/>
      </c>
      <c r="X36" s="29" t="str" cm="1">
        <f t="array" ref="X36">IFERROR(INDEX(_xlfn.UNIQUE(TRIM(_xlfn.TEXTSPLIT(Table26789[[#This Row],[Selection Options]:[Selection Options]],";"))),,X$11),"")</f>
        <v/>
      </c>
      <c r="Y36" s="30" cm="1">
        <f t="array" ref="Y36">IF(Table26789[[#This Row],[1]]="","",Table26789[[#This Row],[Weight]:[Weight]]-(Table26789[[#This Row],[Weight]:[Weight]]*((_xlfn.XMATCH(Table26789[[#This Row],[1]],Table26789[[#This Row],[1]:[11]],0))-1)/(COUNTA(Table26789[[#This Row],[1]:[11]])-COUNTBLANK(Table26789[[#This Row],[1]:[11]])-1)))</f>
        <v>8.0645161290322578E-3</v>
      </c>
      <c r="Z36" s="30" cm="1">
        <f t="array" ref="Z36">IF(Table26789[[#This Row],[2]]="","",Table26789[[#This Row],[Weight]:[Weight]]-(Table26789[[#This Row],[Weight]:[Weight]]*((_xlfn.XMATCH(Table26789[[#This Row],[2]],Table26789[[#This Row],[1]:[11]],0))-1)/(COUNTA(Table26789[[#This Row],[1]:[11]])-COUNTBLANK(Table26789[[#This Row],[1]:[11]])-1)))</f>
        <v>0</v>
      </c>
      <c r="AA36" s="30" t="str" cm="1">
        <f t="array" ref="AA36">IF(Table26789[[#This Row],[3]]="","",Table26789[[#This Row],[Weight]:[Weight]]-(Table26789[[#This Row],[Weight]:[Weight]]*((_xlfn.XMATCH(Table26789[[#This Row],[3]],Table26789[[#This Row],[1]:[11]],0))-1)/(COUNTA(Table26789[[#This Row],[1]:[11]])-COUNTBLANK(Table26789[[#This Row],[1]:[11]])-1)))</f>
        <v/>
      </c>
      <c r="AB36" s="30" t="str" cm="1">
        <f t="array" ref="AB36">IF(Table26789[[#This Row],[4]]="","",Table26789[[#This Row],[Weight]:[Weight]]-(Table26789[[#This Row],[Weight]:[Weight]]*((_xlfn.XMATCH(Table26789[[#This Row],[4]],Table26789[[#This Row],[1]:[11]],0))-1)/(COUNTA(Table26789[[#This Row],[1]:[11]])-COUNTBLANK(Table26789[[#This Row],[1]:[11]])-1)))</f>
        <v/>
      </c>
      <c r="AC36" s="30" t="str" cm="1">
        <f t="array" ref="AC36">IF(Table26789[[#This Row],[5]]="","",Table26789[[#This Row],[Weight]:[Weight]]-(Table26789[[#This Row],[Weight]:[Weight]]*((_xlfn.XMATCH(Table26789[[#This Row],[5]],Table26789[[#This Row],[1]:[11]],0))-1)/(COUNTA(Table26789[[#This Row],[1]:[11]])-COUNTBLANK(Table26789[[#This Row],[1]:[11]])-1)))</f>
        <v/>
      </c>
      <c r="AD36" s="30" t="str" cm="1">
        <f t="array" ref="AD36">IF(Table26789[[#This Row],[6]]="","",Table26789[[#This Row],[Weight]:[Weight]]-(Table26789[[#This Row],[Weight]:[Weight]]*((_xlfn.XMATCH(Table26789[[#This Row],[6]],Table26789[[#This Row],[1]:[11]],0))-1)/(COUNTA(Table26789[[#This Row],[1]:[11]])-COUNTBLANK(Table26789[[#This Row],[1]:[11]])-1)))</f>
        <v/>
      </c>
      <c r="AE36" s="30" t="str" cm="1">
        <f t="array" ref="AE36">IF(Table26789[[#This Row],[7]]="","",Table26789[[#This Row],[Weight]:[Weight]]-(Table26789[[#This Row],[Weight]:[Weight]]*((_xlfn.XMATCH(Table26789[[#This Row],[7]],Table26789[[#This Row],[1]:[11]],0))-1)/(COUNTA(Table26789[[#This Row],[1]:[11]])-COUNTBLANK(Table26789[[#This Row],[1]:[11]])-1)))</f>
        <v/>
      </c>
      <c r="AF36" s="30" t="str" cm="1">
        <f t="array" ref="AF36">IF(Table26789[[#This Row],[8]]="","",Table26789[[#This Row],[Weight]:[Weight]]-(Table26789[[#This Row],[Weight]:[Weight]]*((_xlfn.XMATCH(Table26789[[#This Row],[8]],Table26789[[#This Row],[1]:[11]],0))-1)/(COUNTA(Table26789[[#This Row],[1]:[11]])-COUNTBLANK(Table26789[[#This Row],[1]:[11]])-1)))</f>
        <v/>
      </c>
      <c r="AG36" s="41" t="str" cm="1">
        <f t="array" ref="AG36">IF(Table26789[[#This Row],[9]]="","",Table26789[[#This Row],[Weight]:[Weight]]-(Table26789[[#This Row],[Weight]:[Weight]]*((_xlfn.XMATCH(Table26789[[#This Row],[9]],Table26789[[#This Row],[1]:[11]],0))-1)/(COUNTA(Table26789[[#This Row],[1]:[11]])-COUNTBLANK(Table26789[[#This Row],[1]:[11]])-1)))</f>
        <v/>
      </c>
      <c r="AH36" s="41" t="str" cm="1">
        <f t="array" ref="AH36">IF(Table26789[[#This Row],[10]]="","",Table26789[[#This Row],[Weight]:[Weight]]-(Table26789[[#This Row],[Weight]:[Weight]]*((_xlfn.XMATCH(Table26789[[#This Row],[10]],Table26789[[#This Row],[1]:[11]],0))-1)/(COUNTA(Table26789[[#This Row],[1]:[11]])-COUNTBLANK(Table26789[[#This Row],[1]:[11]])-1)))</f>
        <v/>
      </c>
      <c r="AI36" s="41" t="str" cm="1">
        <f t="array" ref="AI36">IF(Table26789[[#This Row],[11]]="","",Table26789[[#This Row],[Weight]:[Weight]]-(Table26789[[#This Row],[Weight]:[Weight]]*((_xlfn.XMATCH(Table26789[[#This Row],[11]],Table26789[[#This Row],[1]:[11]],0))-1)/(COUNTA(Table26789[[#This Row],[1]:[11]])-COUNTBLANK(Table26789[[#This Row],[1]:[11]])-1)))</f>
        <v/>
      </c>
    </row>
    <row r="37" spans="1:35" ht="192" x14ac:dyDescent="0.2">
      <c r="A37" s="195" t="s">
        <v>397</v>
      </c>
      <c r="B37" s="200" t="s">
        <v>398</v>
      </c>
      <c r="C37" s="199" t="s">
        <v>399</v>
      </c>
      <c r="D37" s="40"/>
      <c r="E37" s="21" t="s">
        <v>55</v>
      </c>
      <c r="F37" s="34" t="s">
        <v>248</v>
      </c>
      <c r="G37" s="35" cm="1">
        <f t="array" ref="G37">_xlfn.IFS(F37="","",F37="No interest",0,F37="Nice to have",1,F37="Useful",2,F37="Important",3,F37="Very important",4,F37="Critical",5,F37="Show stopper",6)</f>
        <v>4</v>
      </c>
      <c r="H37" s="36">
        <f t="shared" si="1"/>
        <v>6.4516129032258064E-3</v>
      </c>
      <c r="I37" s="37" t="s">
        <v>400</v>
      </c>
      <c r="J37" s="37" t="str" cm="1">
        <f t="array" ref="J37">_xlfn.TEXTJOIN(" "&amp;CHAR(10),,TEXT(SUBSTITUTE(Table26789[[#This Row],[12]:[22]],".",","),"0,00%"))</f>
        <v>0,00645161290322581 
0,00%</v>
      </c>
      <c r="K37" s="38" t="s">
        <v>401</v>
      </c>
      <c r="L37" s="39">
        <f>H37-(H37*((MATCH(Table26789[[#This Row],[Evaluators Response (SELECT)]],Table26789[[#This Row],[1]:[11]],0)-1)/(COUNTA(Table26789[[#This Row],[1]:[11]])-COUNTBLANK(Table26789[[#This Row],[1]:[11]])-1)))</f>
        <v>6.4516129032258064E-3</v>
      </c>
      <c r="M37" s="40"/>
      <c r="N37" s="29" t="str" cm="1">
        <f t="array" ref="N37">IFERROR(INDEX(_xlfn.UNIQUE(TRIM(_xlfn.TEXTSPLIT(Table26789[[#This Row],[Selection Options]:[Selection Options]],";"))),,N$11),"")</f>
        <v>(100%)System supports full integration with SIEM via standard protocols (Syslog, Windows Event Log, SNMP, API), and integration has been tested and confirmed</v>
      </c>
      <c r="O37" s="29" t="str" cm="1">
        <f t="array" ref="O37">IFERROR(INDEX(_xlfn.UNIQUE(TRIM(_xlfn.TEXTSPLIT(Table26789[[#This Row],[Selection Options]:[Selection Options]],";"))),,O$11),"")</f>
        <v xml:space="preserve">
(0%) No SIEM integration capability present or enabled, logging is unsupported, disabled, or incompatible with enterprise SIEM tools.</v>
      </c>
      <c r="P37" s="29" t="str" cm="1">
        <f t="array" ref="P37">IFERROR(INDEX(_xlfn.UNIQUE(TRIM(_xlfn.TEXTSPLIT(Table26789[[#This Row],[Selection Options]:[Selection Options]],";"))),,P$11),"")</f>
        <v/>
      </c>
      <c r="Q37" s="29" t="str" cm="1">
        <f t="array" ref="Q37">IFERROR(INDEX(_xlfn.UNIQUE(TRIM(_xlfn.TEXTSPLIT(Table26789[[#This Row],[Selection Options]:[Selection Options]],";"))),,Q$11),"")</f>
        <v/>
      </c>
      <c r="R37" s="29" t="str" cm="1">
        <f t="array" ref="R37">IFERROR(INDEX(_xlfn.UNIQUE(TRIM(_xlfn.TEXTSPLIT(Table26789[[#This Row],[Selection Options]:[Selection Options]],";"))),,R$11),"")</f>
        <v/>
      </c>
      <c r="S37" s="29" t="str" cm="1">
        <f t="array" ref="S37">IFERROR(INDEX(_xlfn.UNIQUE(TRIM(_xlfn.TEXTSPLIT(Table26789[[#This Row],[Selection Options]:[Selection Options]],";"))),,S$11),"")</f>
        <v/>
      </c>
      <c r="T37" s="29" t="str" cm="1">
        <f t="array" ref="T37">IFERROR(INDEX(_xlfn.UNIQUE(TRIM(_xlfn.TEXTSPLIT(Table26789[[#This Row],[Selection Options]:[Selection Options]],";"))),,T$11),"")</f>
        <v/>
      </c>
      <c r="U37" s="29" t="str" cm="1">
        <f t="array" ref="U37">IFERROR(INDEX(_xlfn.UNIQUE(TRIM(_xlfn.TEXTSPLIT(Table26789[[#This Row],[Selection Options]:[Selection Options]],";"))),,U$11),"")</f>
        <v/>
      </c>
      <c r="V37" s="29" t="str" cm="1">
        <f t="array" ref="V37">IFERROR(INDEX(_xlfn.UNIQUE(TRIM(_xlfn.TEXTSPLIT(Table26789[[#This Row],[Selection Options]:[Selection Options]],";"))),,V$11),"")</f>
        <v/>
      </c>
      <c r="W37" s="29" t="str" cm="1">
        <f t="array" ref="W37">IFERROR(INDEX(_xlfn.UNIQUE(TRIM(_xlfn.TEXTSPLIT(Table26789[[#This Row],[Selection Options]:[Selection Options]],";"))),,W$11),"")</f>
        <v/>
      </c>
      <c r="X37" s="29" t="str" cm="1">
        <f t="array" ref="X37">IFERROR(INDEX(_xlfn.UNIQUE(TRIM(_xlfn.TEXTSPLIT(Table26789[[#This Row],[Selection Options]:[Selection Options]],";"))),,X$11),"")</f>
        <v/>
      </c>
      <c r="Y37" s="44" cm="1">
        <f t="array" ref="Y37">IF(Table26789[[#This Row],[1]]="","",Table26789[[#This Row],[Weight]:[Weight]]-(Table26789[[#This Row],[Weight]:[Weight]]*((_xlfn.XMATCH(Table26789[[#This Row],[1]],Table26789[[#This Row],[1]:[11]],0))-1)/(COUNTA(Table26789[[#This Row],[1]:[11]])-COUNTBLANK(Table26789[[#This Row],[1]:[11]])-1)))</f>
        <v>6.4516129032258064E-3</v>
      </c>
      <c r="Z37" s="44" cm="1">
        <f t="array" ref="Z37">IF(Table26789[[#This Row],[2]]="","",Table26789[[#This Row],[Weight]:[Weight]]-(Table26789[[#This Row],[Weight]:[Weight]]*((_xlfn.XMATCH(Table26789[[#This Row],[2]],Table26789[[#This Row],[1]:[11]],0))-1)/(COUNTA(Table26789[[#This Row],[1]:[11]])-COUNTBLANK(Table26789[[#This Row],[1]:[11]])-1)))</f>
        <v>0</v>
      </c>
      <c r="AA37" s="44" t="str" cm="1">
        <f t="array" ref="AA37">IF(Table26789[[#This Row],[3]]="","",Table26789[[#This Row],[Weight]:[Weight]]-(Table26789[[#This Row],[Weight]:[Weight]]*((_xlfn.XMATCH(Table26789[[#This Row],[3]],Table26789[[#This Row],[1]:[11]],0))-1)/(COUNTA(Table26789[[#This Row],[1]:[11]])-COUNTBLANK(Table26789[[#This Row],[1]:[11]])-1)))</f>
        <v/>
      </c>
      <c r="AB37" s="44" t="str" cm="1">
        <f t="array" ref="AB37">IF(Table26789[[#This Row],[4]]="","",Table26789[[#This Row],[Weight]:[Weight]]-(Table26789[[#This Row],[Weight]:[Weight]]*((_xlfn.XMATCH(Table26789[[#This Row],[4]],Table26789[[#This Row],[1]:[11]],0))-1)/(COUNTA(Table26789[[#This Row],[1]:[11]])-COUNTBLANK(Table26789[[#This Row],[1]:[11]])-1)))</f>
        <v/>
      </c>
      <c r="AC37" s="44" t="str" cm="1">
        <f t="array" ref="AC37">IF(Table26789[[#This Row],[5]]="","",Table26789[[#This Row],[Weight]:[Weight]]-(Table26789[[#This Row],[Weight]:[Weight]]*((_xlfn.XMATCH(Table26789[[#This Row],[5]],Table26789[[#This Row],[1]:[11]],0))-1)/(COUNTA(Table26789[[#This Row],[1]:[11]])-COUNTBLANK(Table26789[[#This Row],[1]:[11]])-1)))</f>
        <v/>
      </c>
      <c r="AD37" s="44" t="str" cm="1">
        <f t="array" ref="AD37">IF(Table26789[[#This Row],[6]]="","",Table26789[[#This Row],[Weight]:[Weight]]-(Table26789[[#This Row],[Weight]:[Weight]]*((_xlfn.XMATCH(Table26789[[#This Row],[6]],Table26789[[#This Row],[1]:[11]],0))-1)/(COUNTA(Table26789[[#This Row],[1]:[11]])-COUNTBLANK(Table26789[[#This Row],[1]:[11]])-1)))</f>
        <v/>
      </c>
      <c r="AE37" s="44" t="str" cm="1">
        <f t="array" ref="AE37">IF(Table26789[[#This Row],[7]]="","",Table26789[[#This Row],[Weight]:[Weight]]-(Table26789[[#This Row],[Weight]:[Weight]]*((_xlfn.XMATCH(Table26789[[#This Row],[7]],Table26789[[#This Row],[1]:[11]],0))-1)/(COUNTA(Table26789[[#This Row],[1]:[11]])-COUNTBLANK(Table26789[[#This Row],[1]:[11]])-1)))</f>
        <v/>
      </c>
      <c r="AF37" s="44" t="str" cm="1">
        <f t="array" ref="AF37">IF(Table26789[[#This Row],[8]]="","",Table26789[[#This Row],[Weight]:[Weight]]-(Table26789[[#This Row],[Weight]:[Weight]]*((_xlfn.XMATCH(Table26789[[#This Row],[8]],Table26789[[#This Row],[1]:[11]],0))-1)/(COUNTA(Table26789[[#This Row],[1]:[11]])-COUNTBLANK(Table26789[[#This Row],[1]:[11]])-1)))</f>
        <v/>
      </c>
      <c r="AG37" s="29" t="str" cm="1">
        <f t="array" ref="AG37">IF(Table26789[[#This Row],[9]]="","",Table26789[[#This Row],[Weight]:[Weight]]-(Table26789[[#This Row],[Weight]:[Weight]]*((_xlfn.XMATCH(Table26789[[#This Row],[9]],Table26789[[#This Row],[1]:[11]],0))-1)/(COUNTA(Table26789[[#This Row],[1]:[11]])-COUNTBLANK(Table26789[[#This Row],[1]:[11]])-1)))</f>
        <v/>
      </c>
      <c r="AH37" s="29" t="str" cm="1">
        <f t="array" ref="AH37">IF(Table26789[[#This Row],[10]]="","",Table26789[[#This Row],[Weight]:[Weight]]-(Table26789[[#This Row],[Weight]:[Weight]]*((_xlfn.XMATCH(Table26789[[#This Row],[10]],Table26789[[#This Row],[1]:[11]],0))-1)/(COUNTA(Table26789[[#This Row],[1]:[11]])-COUNTBLANK(Table26789[[#This Row],[1]:[11]])-1)))</f>
        <v/>
      </c>
      <c r="AI37" s="29" t="str" cm="1">
        <f t="array" ref="AI37">IF(Table26789[[#This Row],[11]]="","",Table26789[[#This Row],[Weight]:[Weight]]-(Table26789[[#This Row],[Weight]:[Weight]]*((_xlfn.XMATCH(Table26789[[#This Row],[11]],Table26789[[#This Row],[1]:[11]],0))-1)/(COUNTA(Table26789[[#This Row],[1]:[11]])-COUNTBLANK(Table26789[[#This Row],[1]:[11]])-1)))</f>
        <v/>
      </c>
    </row>
  </sheetData>
  <sheetProtection insertRows="0" insertHyperlinks="0" deleteRows="0" autoFilter="0"/>
  <mergeCells count="4">
    <mergeCell ref="A10:A11"/>
    <mergeCell ref="B10:C11"/>
    <mergeCell ref="D10:E11"/>
    <mergeCell ref="E2:F3"/>
  </mergeCells>
  <conditionalFormatting sqref="K13:K37">
    <cfRule type="expression" dxfId="4" priority="1">
      <formula>COUNTIF(N13:X13,K13)&lt;&gt;1</formula>
    </cfRule>
  </conditionalFormatting>
  <dataValidations count="4">
    <dataValidation type="list" allowBlank="1" showInputMessage="1" showErrorMessage="1" sqref="M14" xr:uid="{C1593775-33E5-483C-A933-E38605BB65CA}">
      <formula1>_xlfn.UNIQUE(TRIM(_xlfn.TEXTSPLIT(#REF!,",")))</formula1>
    </dataValidation>
    <dataValidation type="list" allowBlank="1" showInputMessage="1" showErrorMessage="1" sqref="H13:H37" xr:uid="{DAE94B02-EAC4-414F-9B81-9B824C67E36F}">
      <formula1>N13:R13</formula1>
    </dataValidation>
    <dataValidation type="list" allowBlank="1" showInputMessage="1" showErrorMessage="1" sqref="F13:F37" xr:uid="{EB430E20-A27C-4C9C-84A3-6E5F8DE79026}">
      <formula1>"No interest,Nice to have,Useful,Important,Very important,Critical,Show stopper"</formula1>
    </dataValidation>
    <dataValidation type="list" allowBlank="1" showInputMessage="1" showErrorMessage="1" sqref="K13:K37" xr:uid="{3DC84AA8-C270-4A32-A2DB-8AF9CE57B6A5}">
      <formula1>$N13:$X13</formula1>
    </dataValidation>
  </dataValidations>
  <pageMargins left="0.7" right="0.7" top="0.75" bottom="0.75" header="0.3" footer="0.3"/>
  <pageSetup paperSize="9" scale="50"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6D08-6F33-454A-A585-7E8169CA54DC}">
  <sheetPr>
    <pageSetUpPr fitToPage="1"/>
  </sheetPr>
  <dimension ref="A2:AG64"/>
  <sheetViews>
    <sheetView zoomScale="90" zoomScaleNormal="90" workbookViewId="0"/>
  </sheetViews>
  <sheetFormatPr defaultColWidth="5.5703125" defaultRowHeight="12" x14ac:dyDescent="0.2"/>
  <cols>
    <col min="1" max="1" width="11" style="6" customWidth="1"/>
    <col min="2" max="2" width="48.7109375" style="6" customWidth="1"/>
    <col min="3" max="3" width="38.85546875" style="6" customWidth="1"/>
    <col min="4" max="4" width="18.5703125" style="6" bestFit="1" customWidth="1"/>
    <col min="5" max="6" width="19" style="6" customWidth="1"/>
    <col min="7" max="7" width="19.42578125" style="6" bestFit="1" customWidth="1"/>
    <col min="8" max="8" width="13.7109375" style="6" bestFit="1" customWidth="1"/>
    <col min="9" max="9" width="15.85546875" style="6" customWidth="1"/>
    <col min="10" max="10" width="7.85546875" style="45" bestFit="1" customWidth="1"/>
    <col min="11" max="11" width="19.7109375" style="6" bestFit="1" customWidth="1"/>
    <col min="12" max="12" width="15.42578125" style="46" hidden="1" customWidth="1"/>
    <col min="13" max="13" width="11.85546875" style="46" hidden="1" customWidth="1"/>
    <col min="14" max="22" width="6.42578125" style="46" hidden="1" customWidth="1"/>
    <col min="23" max="23" width="8" style="6" hidden="1" customWidth="1"/>
    <col min="24" max="24" width="6.42578125" style="6" hidden="1" customWidth="1"/>
    <col min="25" max="30" width="6.140625" style="6" hidden="1" customWidth="1"/>
    <col min="31" max="33" width="5.5703125" style="6" hidden="1" customWidth="1"/>
    <col min="34" max="16384" width="5.5703125" style="6"/>
  </cols>
  <sheetData>
    <row r="2" spans="1:33" ht="15" x14ac:dyDescent="0.25">
      <c r="B2" s="90" t="s">
        <v>82</v>
      </c>
      <c r="C2" s="91" t="s">
        <v>83</v>
      </c>
      <c r="E2" s="303" t="s">
        <v>246</v>
      </c>
      <c r="F2" s="304"/>
      <c r="G2" s="119"/>
    </row>
    <row r="3" spans="1:33" ht="15" x14ac:dyDescent="0.25">
      <c r="B3" s="90" t="s">
        <v>84</v>
      </c>
      <c r="C3" s="91" t="s">
        <v>85</v>
      </c>
      <c r="E3" s="305"/>
      <c r="F3" s="306"/>
      <c r="G3" s="119"/>
    </row>
    <row r="4" spans="1:33" ht="15.75" x14ac:dyDescent="0.25">
      <c r="B4" s="90" t="s">
        <v>86</v>
      </c>
      <c r="C4" s="93" t="s">
        <v>87</v>
      </c>
      <c r="D4" s="55"/>
      <c r="E4" s="170" t="s">
        <v>77</v>
      </c>
      <c r="F4" s="176"/>
    </row>
    <row r="5" spans="1:33" ht="15" x14ac:dyDescent="0.25">
      <c r="B5" s="90" t="s">
        <v>88</v>
      </c>
      <c r="C5" s="93" t="s">
        <v>87</v>
      </c>
      <c r="E5" s="116"/>
      <c r="F5" s="175"/>
    </row>
    <row r="6" spans="1:33" ht="15" x14ac:dyDescent="0.25">
      <c r="B6" s="90" t="s">
        <v>90</v>
      </c>
      <c r="C6" s="93" t="s">
        <v>87</v>
      </c>
    </row>
    <row r="7" spans="1:33" ht="42.75" customHeight="1" x14ac:dyDescent="0.25">
      <c r="B7" s="90" t="s">
        <v>91</v>
      </c>
      <c r="C7" s="93"/>
    </row>
    <row r="9" spans="1:33" ht="166.5" customHeight="1" x14ac:dyDescent="0.2"/>
    <row r="11" spans="1:33" ht="15" customHeight="1" x14ac:dyDescent="0.2">
      <c r="A11" s="309"/>
      <c r="B11" s="285" t="s">
        <v>14</v>
      </c>
      <c r="C11" s="285"/>
      <c r="D11" s="123" t="s">
        <v>16</v>
      </c>
      <c r="E11" s="124"/>
      <c r="F11" s="123"/>
      <c r="G11" s="123"/>
      <c r="H11" s="123"/>
      <c r="I11" s="123"/>
      <c r="J11" s="125"/>
      <c r="K11" s="126"/>
      <c r="L11" s="4"/>
      <c r="M11" s="4"/>
      <c r="N11" s="4"/>
      <c r="O11" s="4"/>
      <c r="P11" s="4"/>
      <c r="Q11" s="4"/>
      <c r="R11" s="4"/>
      <c r="S11" s="4"/>
      <c r="T11" s="4"/>
      <c r="U11" s="4"/>
      <c r="V11" s="4"/>
      <c r="W11" s="4"/>
      <c r="X11" s="4"/>
      <c r="Y11" s="4"/>
      <c r="Z11" s="4"/>
      <c r="AA11" s="4"/>
      <c r="AB11" s="4"/>
      <c r="AC11" s="4"/>
      <c r="AD11" s="4"/>
      <c r="AE11" s="4"/>
      <c r="AF11" s="4"/>
      <c r="AG11" s="4"/>
    </row>
    <row r="12" spans="1:33" x14ac:dyDescent="0.2">
      <c r="A12" s="309"/>
      <c r="B12" s="285"/>
      <c r="C12" s="285"/>
      <c r="D12" s="178">
        <f>'Scoring Summary'!C25</f>
        <v>1</v>
      </c>
      <c r="E12" s="127">
        <f>SUM(Table2511[Priority])</f>
        <v>286</v>
      </c>
      <c r="F12" s="128">
        <f>SUM(Table2511[Weight])</f>
        <v>0.99999999999999978</v>
      </c>
      <c r="G12" s="129"/>
      <c r="H12" s="129"/>
      <c r="I12" s="130" t="s">
        <v>17</v>
      </c>
      <c r="J12" s="128">
        <f>SUM(Table2511[Score])</f>
        <v>0</v>
      </c>
      <c r="K12" s="129"/>
      <c r="L12" s="121">
        <v>1</v>
      </c>
      <c r="M12" s="10">
        <v>2</v>
      </c>
      <c r="N12" s="10">
        <v>3</v>
      </c>
      <c r="O12" s="10">
        <v>4</v>
      </c>
      <c r="P12" s="10">
        <v>5</v>
      </c>
      <c r="Q12" s="10">
        <v>6</v>
      </c>
      <c r="R12" s="10">
        <v>7</v>
      </c>
      <c r="S12" s="10">
        <v>8</v>
      </c>
      <c r="T12" s="10">
        <v>9</v>
      </c>
      <c r="U12" s="10">
        <v>10</v>
      </c>
      <c r="V12" s="10">
        <v>11</v>
      </c>
      <c r="W12" s="10">
        <v>12</v>
      </c>
      <c r="X12" s="10">
        <v>13</v>
      </c>
      <c r="Y12" s="10">
        <v>14</v>
      </c>
      <c r="Z12" s="10">
        <v>15</v>
      </c>
      <c r="AA12" s="10">
        <v>16</v>
      </c>
      <c r="AB12" s="10">
        <v>17</v>
      </c>
      <c r="AC12" s="10">
        <v>18</v>
      </c>
      <c r="AD12" s="10">
        <v>19</v>
      </c>
      <c r="AE12" s="10">
        <v>20</v>
      </c>
      <c r="AF12" s="10">
        <v>21</v>
      </c>
      <c r="AG12" s="10">
        <v>22</v>
      </c>
    </row>
    <row r="13" spans="1:33" ht="36" x14ac:dyDescent="0.2">
      <c r="A13" s="131" t="s">
        <v>102</v>
      </c>
      <c r="B13" s="132" t="s">
        <v>19</v>
      </c>
      <c r="C13" s="133" t="s">
        <v>402</v>
      </c>
      <c r="D13" s="134" t="s">
        <v>23</v>
      </c>
      <c r="E13" s="135" t="s">
        <v>24</v>
      </c>
      <c r="F13" s="135" t="s">
        <v>25</v>
      </c>
      <c r="G13" s="134" t="s">
        <v>26</v>
      </c>
      <c r="H13" s="135" t="s">
        <v>27</v>
      </c>
      <c r="I13" s="134" t="s">
        <v>28</v>
      </c>
      <c r="J13" s="136" t="s">
        <v>29</v>
      </c>
      <c r="K13" s="134" t="s">
        <v>30</v>
      </c>
      <c r="L13" s="120" t="s">
        <v>31</v>
      </c>
      <c r="M13" s="18" t="s">
        <v>32</v>
      </c>
      <c r="N13" s="18" t="s">
        <v>33</v>
      </c>
      <c r="O13" s="18" t="s">
        <v>34</v>
      </c>
      <c r="P13" s="18" t="s">
        <v>35</v>
      </c>
      <c r="Q13" s="18" t="s">
        <v>36</v>
      </c>
      <c r="R13" s="18" t="s">
        <v>37</v>
      </c>
      <c r="S13" s="18" t="s">
        <v>38</v>
      </c>
      <c r="T13" s="18" t="s">
        <v>39</v>
      </c>
      <c r="U13" s="18" t="s">
        <v>40</v>
      </c>
      <c r="V13" s="18" t="s">
        <v>41</v>
      </c>
      <c r="W13" s="19" t="s">
        <v>42</v>
      </c>
      <c r="X13" s="19" t="s">
        <v>43</v>
      </c>
      <c r="Y13" s="19" t="s">
        <v>44</v>
      </c>
      <c r="Z13" s="19" t="s">
        <v>45</v>
      </c>
      <c r="AA13" s="19" t="s">
        <v>46</v>
      </c>
      <c r="AB13" s="19" t="s">
        <v>47</v>
      </c>
      <c r="AC13" s="19" t="s">
        <v>48</v>
      </c>
      <c r="AD13" s="19" t="s">
        <v>49</v>
      </c>
      <c r="AE13" s="19" t="s">
        <v>50</v>
      </c>
      <c r="AF13" s="19" t="s">
        <v>51</v>
      </c>
      <c r="AG13" s="19" t="s">
        <v>52</v>
      </c>
    </row>
    <row r="14" spans="1:33" ht="72" x14ac:dyDescent="0.2">
      <c r="A14" s="117" t="s">
        <v>115</v>
      </c>
      <c r="B14" s="21" t="s">
        <v>116</v>
      </c>
      <c r="C14" s="204" t="s">
        <v>117</v>
      </c>
      <c r="D14" s="22" t="s">
        <v>60</v>
      </c>
      <c r="E14" s="23" cm="1">
        <f t="array" ref="E14">_xlfn.IFS(D14="","",D14="No interest",0,D14="Nice to have",1,D14="Useful",2,D14="Important",3,D14="Very important",4,D14="Critical",5,D14="Show stopper",6)</f>
        <v>6</v>
      </c>
      <c r="F14" s="24">
        <f t="shared" ref="F14:F56" si="0">(E14/$E$12)*$D$12</f>
        <v>2.097902097902098E-2</v>
      </c>
      <c r="G14" s="25" t="s">
        <v>403</v>
      </c>
      <c r="H14" s="25" t="str" cm="1">
        <f t="array" ref="H14">_xlfn.TEXTJOIN(" "&amp;CHAR(10),,TEXT(SUBSTITUTE(Table2511[[#This Row],[12]:[22]],".",","),"0,00%"))</f>
        <v>0,020979020979021 
0,0104895104895105 
0,00%</v>
      </c>
      <c r="I14" s="26" t="s">
        <v>404</v>
      </c>
      <c r="J14" s="27">
        <f>F14-(F14*((MATCH(Table2511[[#This Row],[Evaluators Response (SELECT)]],Table2511[[#This Row],[1]:[11]],0)-1)/(COUNTA(Table2511[[#This Row],[1]:[11]])-COUNTBLANK(Table2511[[#This Row],[1]:[11]])-1)))</f>
        <v>0</v>
      </c>
      <c r="K14" s="28"/>
      <c r="L14" s="41" t="str" cm="1">
        <f t="array" ref="L14">IFERROR(INDEX(_xlfn.UNIQUE(TRIM(_xlfn.TEXTSPLIT(Table2511[[#This Row],[Selection Option]:[Selection Option]],";"))),,L$12),"")</f>
        <v>1. Extensive functionality available</v>
      </c>
      <c r="M14" s="41" t="str" cm="1">
        <f t="array" ref="M14">IFERROR(INDEX(_xlfn.UNIQUE(TRIM(_xlfn.TEXTSPLIT(Table2511[[#This Row],[Selection Option]:[Selection Option]],";"))),,M$12),"")</f>
        <v xml:space="preserve">
2. Limited functionality available</v>
      </c>
      <c r="N14" s="41" t="str" cm="1">
        <f t="array" ref="N14">IFERROR(INDEX(_xlfn.UNIQUE(TRIM(_xlfn.TEXTSPLIT(Table2511[[#This Row],[Selection Option]:[Selection Option]],";"))),,N$12),"")</f>
        <v xml:space="preserve">
3. Functionality not available</v>
      </c>
      <c r="O14" s="41" t="str" cm="1">
        <f t="array" ref="O14">IFERROR(INDEX(_xlfn.UNIQUE(TRIM(_xlfn.TEXTSPLIT(Table2511[[#This Row],[Selection Option]:[Selection Option]],";"))),,O$12),"")</f>
        <v/>
      </c>
      <c r="P14" s="41" t="str" cm="1">
        <f t="array" ref="P14">IFERROR(INDEX(_xlfn.UNIQUE(TRIM(_xlfn.TEXTSPLIT(Table2511[[#This Row],[Selection Option]:[Selection Option]],";"))),,P$12),"")</f>
        <v/>
      </c>
      <c r="Q14" s="41" t="str" cm="1">
        <f t="array" ref="Q14">IFERROR(INDEX(_xlfn.UNIQUE(TRIM(_xlfn.TEXTSPLIT(Table2511[[#This Row],[Selection Option]:[Selection Option]],";"))),,Q$12),"")</f>
        <v/>
      </c>
      <c r="R14" s="41" t="str" cm="1">
        <f t="array" ref="R14">IFERROR(INDEX(_xlfn.UNIQUE(TRIM(_xlfn.TEXTSPLIT(Table2511[[#This Row],[Selection Option]:[Selection Option]],";"))),,R$12),"")</f>
        <v/>
      </c>
      <c r="S14" s="41" t="str" cm="1">
        <f t="array" ref="S14">IFERROR(INDEX(_xlfn.UNIQUE(TRIM(_xlfn.TEXTSPLIT(Table2511[[#This Row],[Selection Option]:[Selection Option]],";"))),,S$12),"")</f>
        <v/>
      </c>
      <c r="T14" s="41" t="str" cm="1">
        <f t="array" ref="T14">IFERROR(INDEX(_xlfn.UNIQUE(TRIM(_xlfn.TEXTSPLIT(Table2511[[#This Row],[Selection Option]:[Selection Option]],";"))),,T$12),"")</f>
        <v/>
      </c>
      <c r="U14" s="41" t="str" cm="1">
        <f t="array" ref="U14">IFERROR(INDEX(_xlfn.UNIQUE(TRIM(_xlfn.TEXTSPLIT(Table2511[[#This Row],[Selection Option]:[Selection Option]],";"))),,U$12),"")</f>
        <v/>
      </c>
      <c r="V14" s="41" t="str" cm="1">
        <f t="array" ref="V14">IFERROR(INDEX(_xlfn.UNIQUE(TRIM(_xlfn.TEXTSPLIT(Table2511[[#This Row],[Selection Option]:[Selection Option]],";"))),,V$12),"")</f>
        <v/>
      </c>
      <c r="W14" s="30" cm="1">
        <f t="array" ref="W14">IF(Table2511[[#This Row],[1]]="","",Table2511[[#This Row],[Weight]:[Weight]]-(Table2511[[#This Row],[Weight]:[Weight]]*((_xlfn.XMATCH(Table2511[[#This Row],[1]],Table2511[[#This Row],[1]:[11]],0))-1)/(COUNTA(Table2511[[#This Row],[1]:[11]])-COUNTBLANK(Table2511[[#This Row],[1]:[11]])-1)))</f>
        <v>2.097902097902098E-2</v>
      </c>
      <c r="X14" s="30" cm="1">
        <f t="array" ref="X14">IF(Table2511[[#This Row],[2]]="","",Table2511[[#This Row],[Weight]:[Weight]]-(Table2511[[#This Row],[Weight]:[Weight]]*((_xlfn.XMATCH(Table2511[[#This Row],[2]],Table2511[[#This Row],[1]:[11]],0))-1)/(COUNTA(Table2511[[#This Row],[1]:[11]])-COUNTBLANK(Table2511[[#This Row],[1]:[11]])-1)))</f>
        <v>1.048951048951049E-2</v>
      </c>
      <c r="Y14" s="30" cm="1">
        <f t="array" ref="Y14">IF(Table2511[[#This Row],[3]]="","",Table2511[[#This Row],[Weight]:[Weight]]-(Table2511[[#This Row],[Weight]:[Weight]]*((_xlfn.XMATCH(Table2511[[#This Row],[3]],Table2511[[#This Row],[1]:[11]],0))-1)/(COUNTA(Table2511[[#This Row],[1]:[11]])-COUNTBLANK(Table2511[[#This Row],[1]:[11]])-1)))</f>
        <v>0</v>
      </c>
      <c r="Z14" s="30" t="str" cm="1">
        <f t="array" ref="Z14">IF(Table2511[[#This Row],[4]]="","",Table2511[[#This Row],[Weight]:[Weight]]-(Table2511[[#This Row],[Weight]:[Weight]]*((_xlfn.XMATCH(Table2511[[#This Row],[4]],Table2511[[#This Row],[1]:[11]],0))-1)/(COUNTA(Table2511[[#This Row],[1]:[11]])-COUNTBLANK(Table2511[[#This Row],[1]:[11]])-1)))</f>
        <v/>
      </c>
      <c r="AA14" s="30" t="str" cm="1">
        <f t="array" ref="AA14">IF(Table2511[[#This Row],[5]]="","",Table2511[[#This Row],[Weight]:[Weight]]-(Table2511[[#This Row],[Weight]:[Weight]]*((_xlfn.XMATCH(Table2511[[#This Row],[5]],Table2511[[#This Row],[1]:[11]],0))-1)/(COUNTA(Table2511[[#This Row],[1]:[11]])-COUNTBLANK(Table2511[[#This Row],[1]:[11]])-1)))</f>
        <v/>
      </c>
      <c r="AB14" s="30" t="str" cm="1">
        <f t="array" ref="AB14">IF(Table2511[[#This Row],[6]]="","",Table2511[[#This Row],[Weight]:[Weight]]-(Table2511[[#This Row],[Weight]:[Weight]]*((_xlfn.XMATCH(Table2511[[#This Row],[6]],Table2511[[#This Row],[1]:[11]],0))-1)/(COUNTA(Table2511[[#This Row],[1]:[11]])-COUNTBLANK(Table2511[[#This Row],[1]:[11]])-1)))</f>
        <v/>
      </c>
      <c r="AC14" s="30" t="str" cm="1">
        <f t="array" ref="AC14">IF(Table2511[[#This Row],[7]]="","",Table2511[[#This Row],[Weight]:[Weight]]-(Table2511[[#This Row],[Weight]:[Weight]]*((_xlfn.XMATCH(Table2511[[#This Row],[7]],Table2511[[#This Row],[1]:[11]],0))-1)/(COUNTA(Table2511[[#This Row],[1]:[11]])-COUNTBLANK(Table2511[[#This Row],[1]:[11]])-1)))</f>
        <v/>
      </c>
      <c r="AD14" s="30" t="str" cm="1">
        <f t="array" ref="AD14">IF(Table2511[[#This Row],[8]]="","",Table2511[[#This Row],[Weight]:[Weight]]-(Table2511[[#This Row],[Weight]:[Weight]]*((_xlfn.XMATCH(Table2511[[#This Row],[8]],Table2511[[#This Row],[1]:[11]],0))-1)/(COUNTA(Table2511[[#This Row],[1]:[11]])-COUNTBLANK(Table2511[[#This Row],[1]:[11]])-1)))</f>
        <v/>
      </c>
      <c r="AE14" s="41" t="str" cm="1">
        <f t="array" ref="AE14">IF(Table2511[[#This Row],[9]]="","",Table2511[[#This Row],[Weight]:[Weight]]-(Table2511[[#This Row],[Weight]:[Weight]]*((_xlfn.XMATCH(Table2511[[#This Row],[9]],Table2511[[#This Row],[1]:[11]],0))-1)/(COUNTA(Table2511[[#This Row],[1]:[11]])-COUNTBLANK(Table2511[[#This Row],[1]:[11]])-1)))</f>
        <v/>
      </c>
      <c r="AF14" s="41" t="str" cm="1">
        <f t="array" ref="AF14">IF(Table2511[[#This Row],[10]]="","",Table2511[[#This Row],[Weight]:[Weight]]-(Table2511[[#This Row],[Weight]:[Weight]]*((_xlfn.XMATCH(Table2511[[#This Row],[10]],Table2511[[#This Row],[1]:[11]],0))-1)/(COUNTA(Table2511[[#This Row],[1]:[11]])-COUNTBLANK(Table2511[[#This Row],[1]:[11]])-1)))</f>
        <v/>
      </c>
      <c r="AG14" s="41" t="str" cm="1">
        <f t="array" ref="AG14">IF(Table2511[[#This Row],[11]]="","",Table2511[[#This Row],[Weight]:[Weight]]-(Table2511[[#This Row],[Weight]:[Weight]]*((_xlfn.XMATCH(Table2511[[#This Row],[11]],Table2511[[#This Row],[1]:[11]],0))-1)/(COUNTA(Table2511[[#This Row],[1]:[11]])-COUNTBLANK(Table2511[[#This Row],[1]:[11]])-1)))</f>
        <v/>
      </c>
    </row>
    <row r="15" spans="1:33" ht="84" x14ac:dyDescent="0.2">
      <c r="A15" s="117" t="s">
        <v>120</v>
      </c>
      <c r="B15" s="21" t="s">
        <v>121</v>
      </c>
      <c r="C15" s="204" t="s">
        <v>122</v>
      </c>
      <c r="D15" s="22" t="s">
        <v>60</v>
      </c>
      <c r="E15" s="23" cm="1">
        <f t="array" ref="E15">_xlfn.IFS(D15="","",D15="No interest",0,D15="Nice to have",1,D15="Useful",2,D15="Important",3,D15="Very important",4,D15="Critical",5,D15="Show stopper",6)</f>
        <v>6</v>
      </c>
      <c r="F15" s="24">
        <f t="shared" si="0"/>
        <v>2.097902097902098E-2</v>
      </c>
      <c r="G15" s="25" t="s">
        <v>403</v>
      </c>
      <c r="H15" s="25" t="str" cm="1">
        <f t="array" ref="H15">_xlfn.TEXTJOIN(" "&amp;CHAR(10),,TEXT(SUBSTITUTE(Table2511[[#This Row],[12]:[22]],".",","),"0,00%"))</f>
        <v>0,020979020979021 
0,0104895104895105 
0,00%</v>
      </c>
      <c r="I15" s="26" t="s">
        <v>404</v>
      </c>
      <c r="J15" s="27">
        <f>F15-(F15*((MATCH(Table2511[[#This Row],[Evaluators Response (SELECT)]],Table2511[[#This Row],[1]:[11]],0)-1)/(COUNTA(Table2511[[#This Row],[1]:[11]])-COUNTBLANK(Table2511[[#This Row],[1]:[11]])-1)))</f>
        <v>0</v>
      </c>
      <c r="K15" s="28"/>
      <c r="L15" s="41" t="str" cm="1">
        <f t="array" ref="L15">IFERROR(INDEX(_xlfn.UNIQUE(TRIM(_xlfn.TEXTSPLIT(Table2511[[#This Row],[Selection Option]:[Selection Option]],";"))),,L$12),"")</f>
        <v>1. Extensive functionality available</v>
      </c>
      <c r="M15" s="41" t="str" cm="1">
        <f t="array" ref="M15">IFERROR(INDEX(_xlfn.UNIQUE(TRIM(_xlfn.TEXTSPLIT(Table2511[[#This Row],[Selection Option]:[Selection Option]],";"))),,M$12),"")</f>
        <v xml:space="preserve">
2. Limited functionality available</v>
      </c>
      <c r="N15" s="41" t="str" cm="1">
        <f t="array" ref="N15">IFERROR(INDEX(_xlfn.UNIQUE(TRIM(_xlfn.TEXTSPLIT(Table2511[[#This Row],[Selection Option]:[Selection Option]],";"))),,N$12),"")</f>
        <v xml:space="preserve">
3. Functionality not available</v>
      </c>
      <c r="O15" s="41" t="str" cm="1">
        <f t="array" ref="O15">IFERROR(INDEX(_xlfn.UNIQUE(TRIM(_xlfn.TEXTSPLIT(Table2511[[#This Row],[Selection Option]:[Selection Option]],";"))),,O$12),"")</f>
        <v/>
      </c>
      <c r="P15" s="41" t="str" cm="1">
        <f t="array" ref="P15">IFERROR(INDEX(_xlfn.UNIQUE(TRIM(_xlfn.TEXTSPLIT(Table2511[[#This Row],[Selection Option]:[Selection Option]],";"))),,P$12),"")</f>
        <v/>
      </c>
      <c r="Q15" s="41" t="str" cm="1">
        <f t="array" ref="Q15">IFERROR(INDEX(_xlfn.UNIQUE(TRIM(_xlfn.TEXTSPLIT(Table2511[[#This Row],[Selection Option]:[Selection Option]],";"))),,Q$12),"")</f>
        <v/>
      </c>
      <c r="R15" s="41" t="str" cm="1">
        <f t="array" ref="R15">IFERROR(INDEX(_xlfn.UNIQUE(TRIM(_xlfn.TEXTSPLIT(Table2511[[#This Row],[Selection Option]:[Selection Option]],";"))),,R$12),"")</f>
        <v/>
      </c>
      <c r="S15" s="41" t="str" cm="1">
        <f t="array" ref="S15">IFERROR(INDEX(_xlfn.UNIQUE(TRIM(_xlfn.TEXTSPLIT(Table2511[[#This Row],[Selection Option]:[Selection Option]],";"))),,S$12),"")</f>
        <v/>
      </c>
      <c r="T15" s="41" t="str" cm="1">
        <f t="array" ref="T15">IFERROR(INDEX(_xlfn.UNIQUE(TRIM(_xlfn.TEXTSPLIT(Table2511[[#This Row],[Selection Option]:[Selection Option]],";"))),,T$12),"")</f>
        <v/>
      </c>
      <c r="U15" s="41" t="str" cm="1">
        <f t="array" ref="U15">IFERROR(INDEX(_xlfn.UNIQUE(TRIM(_xlfn.TEXTSPLIT(Table2511[[#This Row],[Selection Option]:[Selection Option]],";"))),,U$12),"")</f>
        <v/>
      </c>
      <c r="V15" s="41" t="str" cm="1">
        <f t="array" ref="V15">IFERROR(INDEX(_xlfn.UNIQUE(TRIM(_xlfn.TEXTSPLIT(Table2511[[#This Row],[Selection Option]:[Selection Option]],";"))),,V$12),"")</f>
        <v/>
      </c>
      <c r="W15" s="30" cm="1">
        <f t="array" ref="W15">IF(Table2511[[#This Row],[1]]="","",Table2511[[#This Row],[Weight]:[Weight]]-(Table2511[[#This Row],[Weight]:[Weight]]*((_xlfn.XMATCH(Table2511[[#This Row],[1]],Table2511[[#This Row],[1]:[11]],0))-1)/(COUNTA(Table2511[[#This Row],[1]:[11]])-COUNTBLANK(Table2511[[#This Row],[1]:[11]])-1)))</f>
        <v>2.097902097902098E-2</v>
      </c>
      <c r="X15" s="30" cm="1">
        <f t="array" ref="X15">IF(Table2511[[#This Row],[2]]="","",Table2511[[#This Row],[Weight]:[Weight]]-(Table2511[[#This Row],[Weight]:[Weight]]*((_xlfn.XMATCH(Table2511[[#This Row],[2]],Table2511[[#This Row],[1]:[11]],0))-1)/(COUNTA(Table2511[[#This Row],[1]:[11]])-COUNTBLANK(Table2511[[#This Row],[1]:[11]])-1)))</f>
        <v>1.048951048951049E-2</v>
      </c>
      <c r="Y15" s="30" cm="1">
        <f t="array" ref="Y15">IF(Table2511[[#This Row],[3]]="","",Table2511[[#This Row],[Weight]:[Weight]]-(Table2511[[#This Row],[Weight]:[Weight]]*((_xlfn.XMATCH(Table2511[[#This Row],[3]],Table2511[[#This Row],[1]:[11]],0))-1)/(COUNTA(Table2511[[#This Row],[1]:[11]])-COUNTBLANK(Table2511[[#This Row],[1]:[11]])-1)))</f>
        <v>0</v>
      </c>
      <c r="Z15" s="30" t="str" cm="1">
        <f t="array" ref="Z15">IF(Table2511[[#This Row],[4]]="","",Table2511[[#This Row],[Weight]:[Weight]]-(Table2511[[#This Row],[Weight]:[Weight]]*((_xlfn.XMATCH(Table2511[[#This Row],[4]],Table2511[[#This Row],[1]:[11]],0))-1)/(COUNTA(Table2511[[#This Row],[1]:[11]])-COUNTBLANK(Table2511[[#This Row],[1]:[11]])-1)))</f>
        <v/>
      </c>
      <c r="AA15" s="30" t="str" cm="1">
        <f t="array" ref="AA15">IF(Table2511[[#This Row],[5]]="","",Table2511[[#This Row],[Weight]:[Weight]]-(Table2511[[#This Row],[Weight]:[Weight]]*((_xlfn.XMATCH(Table2511[[#This Row],[5]],Table2511[[#This Row],[1]:[11]],0))-1)/(COUNTA(Table2511[[#This Row],[1]:[11]])-COUNTBLANK(Table2511[[#This Row],[1]:[11]])-1)))</f>
        <v/>
      </c>
      <c r="AB15" s="30" t="str" cm="1">
        <f t="array" ref="AB15">IF(Table2511[[#This Row],[6]]="","",Table2511[[#This Row],[Weight]:[Weight]]-(Table2511[[#This Row],[Weight]:[Weight]]*((_xlfn.XMATCH(Table2511[[#This Row],[6]],Table2511[[#This Row],[1]:[11]],0))-1)/(COUNTA(Table2511[[#This Row],[1]:[11]])-COUNTBLANK(Table2511[[#This Row],[1]:[11]])-1)))</f>
        <v/>
      </c>
      <c r="AC15" s="30" t="str" cm="1">
        <f t="array" ref="AC15">IF(Table2511[[#This Row],[7]]="","",Table2511[[#This Row],[Weight]:[Weight]]-(Table2511[[#This Row],[Weight]:[Weight]]*((_xlfn.XMATCH(Table2511[[#This Row],[7]],Table2511[[#This Row],[1]:[11]],0))-1)/(COUNTA(Table2511[[#This Row],[1]:[11]])-COUNTBLANK(Table2511[[#This Row],[1]:[11]])-1)))</f>
        <v/>
      </c>
      <c r="AD15" s="30" t="str" cm="1">
        <f t="array" ref="AD15">IF(Table2511[[#This Row],[8]]="","",Table2511[[#This Row],[Weight]:[Weight]]-(Table2511[[#This Row],[Weight]:[Weight]]*((_xlfn.XMATCH(Table2511[[#This Row],[8]],Table2511[[#This Row],[1]:[11]],0))-1)/(COUNTA(Table2511[[#This Row],[1]:[11]])-COUNTBLANK(Table2511[[#This Row],[1]:[11]])-1)))</f>
        <v/>
      </c>
      <c r="AE15" s="41" t="str" cm="1">
        <f t="array" ref="AE15">IF(Table2511[[#This Row],[9]]="","",Table2511[[#This Row],[Weight]:[Weight]]-(Table2511[[#This Row],[Weight]:[Weight]]*((_xlfn.XMATCH(Table2511[[#This Row],[9]],Table2511[[#This Row],[1]:[11]],0))-1)/(COUNTA(Table2511[[#This Row],[1]:[11]])-COUNTBLANK(Table2511[[#This Row],[1]:[11]])-1)))</f>
        <v/>
      </c>
      <c r="AF15" s="41" t="str" cm="1">
        <f t="array" ref="AF15">IF(Table2511[[#This Row],[10]]="","",Table2511[[#This Row],[Weight]:[Weight]]-(Table2511[[#This Row],[Weight]:[Weight]]*((_xlfn.XMATCH(Table2511[[#This Row],[10]],Table2511[[#This Row],[1]:[11]],0))-1)/(COUNTA(Table2511[[#This Row],[1]:[11]])-COUNTBLANK(Table2511[[#This Row],[1]:[11]])-1)))</f>
        <v/>
      </c>
      <c r="AG15" s="41" t="str" cm="1">
        <f t="array" ref="AG15">IF(Table2511[[#This Row],[11]]="","",Table2511[[#This Row],[Weight]:[Weight]]-(Table2511[[#This Row],[Weight]:[Weight]]*((_xlfn.XMATCH(Table2511[[#This Row],[11]],Table2511[[#This Row],[1]:[11]],0))-1)/(COUNTA(Table2511[[#This Row],[1]:[11]])-COUNTBLANK(Table2511[[#This Row],[1]:[11]])-1)))</f>
        <v/>
      </c>
    </row>
    <row r="16" spans="1:33" ht="72" x14ac:dyDescent="0.2">
      <c r="A16" s="117" t="s">
        <v>123</v>
      </c>
      <c r="B16" s="21" t="s">
        <v>124</v>
      </c>
      <c r="C16" s="204" t="s">
        <v>125</v>
      </c>
      <c r="D16" s="22" t="s">
        <v>60</v>
      </c>
      <c r="E16" s="23" cm="1">
        <f t="array" ref="E16">_xlfn.IFS(D16="","",D16="No interest",0,D16="Nice to have",1,D16="Useful",2,D16="Important",3,D16="Very important",4,D16="Critical",5,D16="Show stopper",6)</f>
        <v>6</v>
      </c>
      <c r="F16" s="24">
        <f t="shared" si="0"/>
        <v>2.097902097902098E-2</v>
      </c>
      <c r="G16" s="25" t="s">
        <v>403</v>
      </c>
      <c r="H16" s="25" t="str" cm="1">
        <f t="array" ref="H16">_xlfn.TEXTJOIN(" "&amp;CHAR(10),,TEXT(SUBSTITUTE(Table2511[[#This Row],[12]:[22]],".",","),"0,00%"))</f>
        <v>0,020979020979021 
0,0104895104895105 
0,00%</v>
      </c>
      <c r="I16" s="26" t="s">
        <v>404</v>
      </c>
      <c r="J16" s="27">
        <f>F16-(F16*((MATCH(Table2511[[#This Row],[Evaluators Response (SELECT)]],Table2511[[#This Row],[1]:[11]],0)-1)/(COUNTA(Table2511[[#This Row],[1]:[11]])-COUNTBLANK(Table2511[[#This Row],[1]:[11]])-1)))</f>
        <v>0</v>
      </c>
      <c r="K16" s="28"/>
      <c r="L16" s="41" t="str" cm="1">
        <f t="array" ref="L16">IFERROR(INDEX(_xlfn.UNIQUE(TRIM(_xlfn.TEXTSPLIT(Table2511[[#This Row],[Selection Option]:[Selection Option]],";"))),,L$12),"")</f>
        <v>1. Extensive functionality available</v>
      </c>
      <c r="M16" s="41" t="str" cm="1">
        <f t="array" ref="M16">IFERROR(INDEX(_xlfn.UNIQUE(TRIM(_xlfn.TEXTSPLIT(Table2511[[#This Row],[Selection Option]:[Selection Option]],";"))),,M$12),"")</f>
        <v xml:space="preserve">
2. Limited functionality available</v>
      </c>
      <c r="N16" s="41" t="str" cm="1">
        <f t="array" ref="N16">IFERROR(INDEX(_xlfn.UNIQUE(TRIM(_xlfn.TEXTSPLIT(Table2511[[#This Row],[Selection Option]:[Selection Option]],";"))),,N$12),"")</f>
        <v xml:space="preserve">
3. Functionality not available</v>
      </c>
      <c r="O16" s="41" t="str" cm="1">
        <f t="array" ref="O16">IFERROR(INDEX(_xlfn.UNIQUE(TRIM(_xlfn.TEXTSPLIT(Table2511[[#This Row],[Selection Option]:[Selection Option]],";"))),,O$12),"")</f>
        <v/>
      </c>
      <c r="P16" s="41" t="str" cm="1">
        <f t="array" ref="P16">IFERROR(INDEX(_xlfn.UNIQUE(TRIM(_xlfn.TEXTSPLIT(Table2511[[#This Row],[Selection Option]:[Selection Option]],";"))),,P$12),"")</f>
        <v/>
      </c>
      <c r="Q16" s="41" t="str" cm="1">
        <f t="array" ref="Q16">IFERROR(INDEX(_xlfn.UNIQUE(TRIM(_xlfn.TEXTSPLIT(Table2511[[#This Row],[Selection Option]:[Selection Option]],";"))),,Q$12),"")</f>
        <v/>
      </c>
      <c r="R16" s="41" t="str" cm="1">
        <f t="array" ref="R16">IFERROR(INDEX(_xlfn.UNIQUE(TRIM(_xlfn.TEXTSPLIT(Table2511[[#This Row],[Selection Option]:[Selection Option]],";"))),,R$12),"")</f>
        <v/>
      </c>
      <c r="S16" s="41" t="str" cm="1">
        <f t="array" ref="S16">IFERROR(INDEX(_xlfn.UNIQUE(TRIM(_xlfn.TEXTSPLIT(Table2511[[#This Row],[Selection Option]:[Selection Option]],";"))),,S$12),"")</f>
        <v/>
      </c>
      <c r="T16" s="41" t="str" cm="1">
        <f t="array" ref="T16">IFERROR(INDEX(_xlfn.UNIQUE(TRIM(_xlfn.TEXTSPLIT(Table2511[[#This Row],[Selection Option]:[Selection Option]],";"))),,T$12),"")</f>
        <v/>
      </c>
      <c r="U16" s="41" t="str" cm="1">
        <f t="array" ref="U16">IFERROR(INDEX(_xlfn.UNIQUE(TRIM(_xlfn.TEXTSPLIT(Table2511[[#This Row],[Selection Option]:[Selection Option]],";"))),,U$12),"")</f>
        <v/>
      </c>
      <c r="V16" s="41" t="str" cm="1">
        <f t="array" ref="V16">IFERROR(INDEX(_xlfn.UNIQUE(TRIM(_xlfn.TEXTSPLIT(Table2511[[#This Row],[Selection Option]:[Selection Option]],";"))),,V$12),"")</f>
        <v/>
      </c>
      <c r="W16" s="30" cm="1">
        <f t="array" ref="W16">IF(Table2511[[#This Row],[1]]="","",Table2511[[#This Row],[Weight]:[Weight]]-(Table2511[[#This Row],[Weight]:[Weight]]*((_xlfn.XMATCH(Table2511[[#This Row],[1]],Table2511[[#This Row],[1]:[11]],0))-1)/(COUNTA(Table2511[[#This Row],[1]:[11]])-COUNTBLANK(Table2511[[#This Row],[1]:[11]])-1)))</f>
        <v>2.097902097902098E-2</v>
      </c>
      <c r="X16" s="30" cm="1">
        <f t="array" ref="X16">IF(Table2511[[#This Row],[2]]="","",Table2511[[#This Row],[Weight]:[Weight]]-(Table2511[[#This Row],[Weight]:[Weight]]*((_xlfn.XMATCH(Table2511[[#This Row],[2]],Table2511[[#This Row],[1]:[11]],0))-1)/(COUNTA(Table2511[[#This Row],[1]:[11]])-COUNTBLANK(Table2511[[#This Row],[1]:[11]])-1)))</f>
        <v>1.048951048951049E-2</v>
      </c>
      <c r="Y16" s="30" cm="1">
        <f t="array" ref="Y16">IF(Table2511[[#This Row],[3]]="","",Table2511[[#This Row],[Weight]:[Weight]]-(Table2511[[#This Row],[Weight]:[Weight]]*((_xlfn.XMATCH(Table2511[[#This Row],[3]],Table2511[[#This Row],[1]:[11]],0))-1)/(COUNTA(Table2511[[#This Row],[1]:[11]])-COUNTBLANK(Table2511[[#This Row],[1]:[11]])-1)))</f>
        <v>0</v>
      </c>
      <c r="Z16" s="30" t="str" cm="1">
        <f t="array" ref="Z16">IF(Table2511[[#This Row],[4]]="","",Table2511[[#This Row],[Weight]:[Weight]]-(Table2511[[#This Row],[Weight]:[Weight]]*((_xlfn.XMATCH(Table2511[[#This Row],[4]],Table2511[[#This Row],[1]:[11]],0))-1)/(COUNTA(Table2511[[#This Row],[1]:[11]])-COUNTBLANK(Table2511[[#This Row],[1]:[11]])-1)))</f>
        <v/>
      </c>
      <c r="AA16" s="30" t="str" cm="1">
        <f t="array" ref="AA16">IF(Table2511[[#This Row],[5]]="","",Table2511[[#This Row],[Weight]:[Weight]]-(Table2511[[#This Row],[Weight]:[Weight]]*((_xlfn.XMATCH(Table2511[[#This Row],[5]],Table2511[[#This Row],[1]:[11]],0))-1)/(COUNTA(Table2511[[#This Row],[1]:[11]])-COUNTBLANK(Table2511[[#This Row],[1]:[11]])-1)))</f>
        <v/>
      </c>
      <c r="AB16" s="30" t="str" cm="1">
        <f t="array" ref="AB16">IF(Table2511[[#This Row],[6]]="","",Table2511[[#This Row],[Weight]:[Weight]]-(Table2511[[#This Row],[Weight]:[Weight]]*((_xlfn.XMATCH(Table2511[[#This Row],[6]],Table2511[[#This Row],[1]:[11]],0))-1)/(COUNTA(Table2511[[#This Row],[1]:[11]])-COUNTBLANK(Table2511[[#This Row],[1]:[11]])-1)))</f>
        <v/>
      </c>
      <c r="AC16" s="30" t="str" cm="1">
        <f t="array" ref="AC16">IF(Table2511[[#This Row],[7]]="","",Table2511[[#This Row],[Weight]:[Weight]]-(Table2511[[#This Row],[Weight]:[Weight]]*((_xlfn.XMATCH(Table2511[[#This Row],[7]],Table2511[[#This Row],[1]:[11]],0))-1)/(COUNTA(Table2511[[#This Row],[1]:[11]])-COUNTBLANK(Table2511[[#This Row],[1]:[11]])-1)))</f>
        <v/>
      </c>
      <c r="AD16" s="30" t="str" cm="1">
        <f t="array" ref="AD16">IF(Table2511[[#This Row],[8]]="","",Table2511[[#This Row],[Weight]:[Weight]]-(Table2511[[#This Row],[Weight]:[Weight]]*((_xlfn.XMATCH(Table2511[[#This Row],[8]],Table2511[[#This Row],[1]:[11]],0))-1)/(COUNTA(Table2511[[#This Row],[1]:[11]])-COUNTBLANK(Table2511[[#This Row],[1]:[11]])-1)))</f>
        <v/>
      </c>
      <c r="AE16" s="41" t="str" cm="1">
        <f t="array" ref="AE16">IF(Table2511[[#This Row],[9]]="","",Table2511[[#This Row],[Weight]:[Weight]]-(Table2511[[#This Row],[Weight]:[Weight]]*((_xlfn.XMATCH(Table2511[[#This Row],[9]],Table2511[[#This Row],[1]:[11]],0))-1)/(COUNTA(Table2511[[#This Row],[1]:[11]])-COUNTBLANK(Table2511[[#This Row],[1]:[11]])-1)))</f>
        <v/>
      </c>
      <c r="AF16" s="41" t="str" cm="1">
        <f t="array" ref="AF16">IF(Table2511[[#This Row],[10]]="","",Table2511[[#This Row],[Weight]:[Weight]]-(Table2511[[#This Row],[Weight]:[Weight]]*((_xlfn.XMATCH(Table2511[[#This Row],[10]],Table2511[[#This Row],[1]:[11]],0))-1)/(COUNTA(Table2511[[#This Row],[1]:[11]])-COUNTBLANK(Table2511[[#This Row],[1]:[11]])-1)))</f>
        <v/>
      </c>
      <c r="AG16" s="41" t="str" cm="1">
        <f t="array" ref="AG16">IF(Table2511[[#This Row],[11]]="","",Table2511[[#This Row],[Weight]:[Weight]]-(Table2511[[#This Row],[Weight]:[Weight]]*((_xlfn.XMATCH(Table2511[[#This Row],[11]],Table2511[[#This Row],[1]:[11]],0))-1)/(COUNTA(Table2511[[#This Row],[1]:[11]])-COUNTBLANK(Table2511[[#This Row],[1]:[11]])-1)))</f>
        <v/>
      </c>
    </row>
    <row r="17" spans="1:33" ht="72" x14ac:dyDescent="0.2">
      <c r="A17" s="117" t="s">
        <v>126</v>
      </c>
      <c r="B17" s="21" t="s">
        <v>127</v>
      </c>
      <c r="C17" s="204" t="s">
        <v>128</v>
      </c>
      <c r="D17" s="22" t="s">
        <v>60</v>
      </c>
      <c r="E17" s="23" cm="1">
        <f t="array" ref="E17">_xlfn.IFS(D17="","",D17="No interest",0,D17="Nice to have",1,D17="Useful",2,D17="Important",3,D17="Very important",4,D17="Critical",5,D17="Show stopper",6)</f>
        <v>6</v>
      </c>
      <c r="F17" s="24">
        <f t="shared" si="0"/>
        <v>2.097902097902098E-2</v>
      </c>
      <c r="G17" s="25" t="s">
        <v>403</v>
      </c>
      <c r="H17" s="25" t="str" cm="1">
        <f t="array" ref="H17">_xlfn.TEXTJOIN(" "&amp;CHAR(10),,TEXT(SUBSTITUTE(Table2511[[#This Row],[12]:[22]],".",","),"0,00%"))</f>
        <v>0,020979020979021 
0,0104895104895105 
0,00%</v>
      </c>
      <c r="I17" s="26" t="s">
        <v>404</v>
      </c>
      <c r="J17" s="27">
        <f>F17-(F17*((MATCH(Table2511[[#This Row],[Evaluators Response (SELECT)]],Table2511[[#This Row],[1]:[11]],0)-1)/(COUNTA(Table2511[[#This Row],[1]:[11]])-COUNTBLANK(Table2511[[#This Row],[1]:[11]])-1)))</f>
        <v>0</v>
      </c>
      <c r="K17" s="28"/>
      <c r="L17" s="41" t="str" cm="1">
        <f t="array" ref="L17">IFERROR(INDEX(_xlfn.UNIQUE(TRIM(_xlfn.TEXTSPLIT(Table2511[[#This Row],[Selection Option]:[Selection Option]],";"))),,L$12),"")</f>
        <v>1. Extensive functionality available</v>
      </c>
      <c r="M17" s="41" t="str" cm="1">
        <f t="array" ref="M17">IFERROR(INDEX(_xlfn.UNIQUE(TRIM(_xlfn.TEXTSPLIT(Table2511[[#This Row],[Selection Option]:[Selection Option]],";"))),,M$12),"")</f>
        <v xml:space="preserve">
2. Limited functionality available</v>
      </c>
      <c r="N17" s="41" t="str" cm="1">
        <f t="array" ref="N17">IFERROR(INDEX(_xlfn.UNIQUE(TRIM(_xlfn.TEXTSPLIT(Table2511[[#This Row],[Selection Option]:[Selection Option]],";"))),,N$12),"")</f>
        <v xml:space="preserve">
3. Functionality not available</v>
      </c>
      <c r="O17" s="41" t="str" cm="1">
        <f t="array" ref="O17">IFERROR(INDEX(_xlfn.UNIQUE(TRIM(_xlfn.TEXTSPLIT(Table2511[[#This Row],[Selection Option]:[Selection Option]],";"))),,O$12),"")</f>
        <v/>
      </c>
      <c r="P17" s="41" t="str" cm="1">
        <f t="array" ref="P17">IFERROR(INDEX(_xlfn.UNIQUE(TRIM(_xlfn.TEXTSPLIT(Table2511[[#This Row],[Selection Option]:[Selection Option]],";"))),,P$12),"")</f>
        <v/>
      </c>
      <c r="Q17" s="41" t="str" cm="1">
        <f t="array" ref="Q17">IFERROR(INDEX(_xlfn.UNIQUE(TRIM(_xlfn.TEXTSPLIT(Table2511[[#This Row],[Selection Option]:[Selection Option]],";"))),,Q$12),"")</f>
        <v/>
      </c>
      <c r="R17" s="41" t="str" cm="1">
        <f t="array" ref="R17">IFERROR(INDEX(_xlfn.UNIQUE(TRIM(_xlfn.TEXTSPLIT(Table2511[[#This Row],[Selection Option]:[Selection Option]],";"))),,R$12),"")</f>
        <v/>
      </c>
      <c r="S17" s="41" t="str" cm="1">
        <f t="array" ref="S17">IFERROR(INDEX(_xlfn.UNIQUE(TRIM(_xlfn.TEXTSPLIT(Table2511[[#This Row],[Selection Option]:[Selection Option]],";"))),,S$12),"")</f>
        <v/>
      </c>
      <c r="T17" s="41" t="str" cm="1">
        <f t="array" ref="T17">IFERROR(INDEX(_xlfn.UNIQUE(TRIM(_xlfn.TEXTSPLIT(Table2511[[#This Row],[Selection Option]:[Selection Option]],";"))),,T$12),"")</f>
        <v/>
      </c>
      <c r="U17" s="41" t="str" cm="1">
        <f t="array" ref="U17">IFERROR(INDEX(_xlfn.UNIQUE(TRIM(_xlfn.TEXTSPLIT(Table2511[[#This Row],[Selection Option]:[Selection Option]],";"))),,U$12),"")</f>
        <v/>
      </c>
      <c r="V17" s="41" t="str" cm="1">
        <f t="array" ref="V17">IFERROR(INDEX(_xlfn.UNIQUE(TRIM(_xlfn.TEXTSPLIT(Table2511[[#This Row],[Selection Option]:[Selection Option]],";"))),,V$12),"")</f>
        <v/>
      </c>
      <c r="W17" s="30" cm="1">
        <f t="array" ref="W17">IF(Table2511[[#This Row],[1]]="","",Table2511[[#This Row],[Weight]:[Weight]]-(Table2511[[#This Row],[Weight]:[Weight]]*((_xlfn.XMATCH(Table2511[[#This Row],[1]],Table2511[[#This Row],[1]:[11]],0))-1)/(COUNTA(Table2511[[#This Row],[1]:[11]])-COUNTBLANK(Table2511[[#This Row],[1]:[11]])-1)))</f>
        <v>2.097902097902098E-2</v>
      </c>
      <c r="X17" s="30" cm="1">
        <f t="array" ref="X17">IF(Table2511[[#This Row],[2]]="","",Table2511[[#This Row],[Weight]:[Weight]]-(Table2511[[#This Row],[Weight]:[Weight]]*((_xlfn.XMATCH(Table2511[[#This Row],[2]],Table2511[[#This Row],[1]:[11]],0))-1)/(COUNTA(Table2511[[#This Row],[1]:[11]])-COUNTBLANK(Table2511[[#This Row],[1]:[11]])-1)))</f>
        <v>1.048951048951049E-2</v>
      </c>
      <c r="Y17" s="30" cm="1">
        <f t="array" ref="Y17">IF(Table2511[[#This Row],[3]]="","",Table2511[[#This Row],[Weight]:[Weight]]-(Table2511[[#This Row],[Weight]:[Weight]]*((_xlfn.XMATCH(Table2511[[#This Row],[3]],Table2511[[#This Row],[1]:[11]],0))-1)/(COUNTA(Table2511[[#This Row],[1]:[11]])-COUNTBLANK(Table2511[[#This Row],[1]:[11]])-1)))</f>
        <v>0</v>
      </c>
      <c r="Z17" s="30" t="str" cm="1">
        <f t="array" ref="Z17">IF(Table2511[[#This Row],[4]]="","",Table2511[[#This Row],[Weight]:[Weight]]-(Table2511[[#This Row],[Weight]:[Weight]]*((_xlfn.XMATCH(Table2511[[#This Row],[4]],Table2511[[#This Row],[1]:[11]],0))-1)/(COUNTA(Table2511[[#This Row],[1]:[11]])-COUNTBLANK(Table2511[[#This Row],[1]:[11]])-1)))</f>
        <v/>
      </c>
      <c r="AA17" s="30" t="str" cm="1">
        <f t="array" ref="AA17">IF(Table2511[[#This Row],[5]]="","",Table2511[[#This Row],[Weight]:[Weight]]-(Table2511[[#This Row],[Weight]:[Weight]]*((_xlfn.XMATCH(Table2511[[#This Row],[5]],Table2511[[#This Row],[1]:[11]],0))-1)/(COUNTA(Table2511[[#This Row],[1]:[11]])-COUNTBLANK(Table2511[[#This Row],[1]:[11]])-1)))</f>
        <v/>
      </c>
      <c r="AB17" s="30" t="str" cm="1">
        <f t="array" ref="AB17">IF(Table2511[[#This Row],[6]]="","",Table2511[[#This Row],[Weight]:[Weight]]-(Table2511[[#This Row],[Weight]:[Weight]]*((_xlfn.XMATCH(Table2511[[#This Row],[6]],Table2511[[#This Row],[1]:[11]],0))-1)/(COUNTA(Table2511[[#This Row],[1]:[11]])-COUNTBLANK(Table2511[[#This Row],[1]:[11]])-1)))</f>
        <v/>
      </c>
      <c r="AC17" s="30" t="str" cm="1">
        <f t="array" ref="AC17">IF(Table2511[[#This Row],[7]]="","",Table2511[[#This Row],[Weight]:[Weight]]-(Table2511[[#This Row],[Weight]:[Weight]]*((_xlfn.XMATCH(Table2511[[#This Row],[7]],Table2511[[#This Row],[1]:[11]],0))-1)/(COUNTA(Table2511[[#This Row],[1]:[11]])-COUNTBLANK(Table2511[[#This Row],[1]:[11]])-1)))</f>
        <v/>
      </c>
      <c r="AD17" s="30" t="str" cm="1">
        <f t="array" ref="AD17">IF(Table2511[[#This Row],[8]]="","",Table2511[[#This Row],[Weight]:[Weight]]-(Table2511[[#This Row],[Weight]:[Weight]]*((_xlfn.XMATCH(Table2511[[#This Row],[8]],Table2511[[#This Row],[1]:[11]],0))-1)/(COUNTA(Table2511[[#This Row],[1]:[11]])-COUNTBLANK(Table2511[[#This Row],[1]:[11]])-1)))</f>
        <v/>
      </c>
      <c r="AE17" s="41" t="str" cm="1">
        <f t="array" ref="AE17">IF(Table2511[[#This Row],[9]]="","",Table2511[[#This Row],[Weight]:[Weight]]-(Table2511[[#This Row],[Weight]:[Weight]]*((_xlfn.XMATCH(Table2511[[#This Row],[9]],Table2511[[#This Row],[1]:[11]],0))-1)/(COUNTA(Table2511[[#This Row],[1]:[11]])-COUNTBLANK(Table2511[[#This Row],[1]:[11]])-1)))</f>
        <v/>
      </c>
      <c r="AF17" s="41" t="str" cm="1">
        <f t="array" ref="AF17">IF(Table2511[[#This Row],[10]]="","",Table2511[[#This Row],[Weight]:[Weight]]-(Table2511[[#This Row],[Weight]:[Weight]]*((_xlfn.XMATCH(Table2511[[#This Row],[10]],Table2511[[#This Row],[1]:[11]],0))-1)/(COUNTA(Table2511[[#This Row],[1]:[11]])-COUNTBLANK(Table2511[[#This Row],[1]:[11]])-1)))</f>
        <v/>
      </c>
      <c r="AG17" s="41" t="str" cm="1">
        <f t="array" ref="AG17">IF(Table2511[[#This Row],[11]]="","",Table2511[[#This Row],[Weight]:[Weight]]-(Table2511[[#This Row],[Weight]:[Weight]]*((_xlfn.XMATCH(Table2511[[#This Row],[11]],Table2511[[#This Row],[1]:[11]],0))-1)/(COUNTA(Table2511[[#This Row],[1]:[11]])-COUNTBLANK(Table2511[[#This Row],[1]:[11]])-1)))</f>
        <v/>
      </c>
    </row>
    <row r="18" spans="1:33" ht="72" x14ac:dyDescent="0.2">
      <c r="A18" s="117" t="s">
        <v>129</v>
      </c>
      <c r="B18" s="21" t="s">
        <v>130</v>
      </c>
      <c r="C18" s="204" t="s">
        <v>131</v>
      </c>
      <c r="D18" s="22" t="s">
        <v>60</v>
      </c>
      <c r="E18" s="23" cm="1">
        <f t="array" ref="E18">_xlfn.IFS(D18="","",D18="No interest",0,D18="Nice to have",1,D18="Useful",2,D18="Important",3,D18="Very important",4,D18="Critical",5,D18="Show stopper",6)</f>
        <v>6</v>
      </c>
      <c r="F18" s="24">
        <f t="shared" si="0"/>
        <v>2.097902097902098E-2</v>
      </c>
      <c r="G18" s="25" t="s">
        <v>403</v>
      </c>
      <c r="H18" s="25" t="str" cm="1">
        <f t="array" ref="H18">_xlfn.TEXTJOIN(" "&amp;CHAR(10),,TEXT(SUBSTITUTE(Table2511[[#This Row],[12]:[22]],".",","),"0,00%"))</f>
        <v>0,020979020979021 
0,0104895104895105 
0,00%</v>
      </c>
      <c r="I18" s="26" t="s">
        <v>404</v>
      </c>
      <c r="J18" s="27">
        <f>F18-(F18*((MATCH(Table2511[[#This Row],[Evaluators Response (SELECT)]],Table2511[[#This Row],[1]:[11]],0)-1)/(COUNTA(Table2511[[#This Row],[1]:[11]])-COUNTBLANK(Table2511[[#This Row],[1]:[11]])-1)))</f>
        <v>0</v>
      </c>
      <c r="K18" s="28"/>
      <c r="L18" s="41" t="str" cm="1">
        <f t="array" ref="L18">IFERROR(INDEX(_xlfn.UNIQUE(TRIM(_xlfn.TEXTSPLIT(Table2511[[#This Row],[Selection Option]:[Selection Option]],";"))),,L$12),"")</f>
        <v>1. Extensive functionality available</v>
      </c>
      <c r="M18" s="41" t="str" cm="1">
        <f t="array" ref="M18">IFERROR(INDEX(_xlfn.UNIQUE(TRIM(_xlfn.TEXTSPLIT(Table2511[[#This Row],[Selection Option]:[Selection Option]],";"))),,M$12),"")</f>
        <v xml:space="preserve">
2. Limited functionality available</v>
      </c>
      <c r="N18" s="41" t="str" cm="1">
        <f t="array" ref="N18">IFERROR(INDEX(_xlfn.UNIQUE(TRIM(_xlfn.TEXTSPLIT(Table2511[[#This Row],[Selection Option]:[Selection Option]],";"))),,N$12),"")</f>
        <v xml:space="preserve">
3. Functionality not available</v>
      </c>
      <c r="O18" s="41" t="str" cm="1">
        <f t="array" ref="O18">IFERROR(INDEX(_xlfn.UNIQUE(TRIM(_xlfn.TEXTSPLIT(Table2511[[#This Row],[Selection Option]:[Selection Option]],";"))),,O$12),"")</f>
        <v/>
      </c>
      <c r="P18" s="41" t="str" cm="1">
        <f t="array" ref="P18">IFERROR(INDEX(_xlfn.UNIQUE(TRIM(_xlfn.TEXTSPLIT(Table2511[[#This Row],[Selection Option]:[Selection Option]],";"))),,P$12),"")</f>
        <v/>
      </c>
      <c r="Q18" s="41" t="str" cm="1">
        <f t="array" ref="Q18">IFERROR(INDEX(_xlfn.UNIQUE(TRIM(_xlfn.TEXTSPLIT(Table2511[[#This Row],[Selection Option]:[Selection Option]],";"))),,Q$12),"")</f>
        <v/>
      </c>
      <c r="R18" s="41" t="str" cm="1">
        <f t="array" ref="R18">IFERROR(INDEX(_xlfn.UNIQUE(TRIM(_xlfn.TEXTSPLIT(Table2511[[#This Row],[Selection Option]:[Selection Option]],";"))),,R$12),"")</f>
        <v/>
      </c>
      <c r="S18" s="41" t="str" cm="1">
        <f t="array" ref="S18">IFERROR(INDEX(_xlfn.UNIQUE(TRIM(_xlfn.TEXTSPLIT(Table2511[[#This Row],[Selection Option]:[Selection Option]],";"))),,S$12),"")</f>
        <v/>
      </c>
      <c r="T18" s="41" t="str" cm="1">
        <f t="array" ref="T18">IFERROR(INDEX(_xlfn.UNIQUE(TRIM(_xlfn.TEXTSPLIT(Table2511[[#This Row],[Selection Option]:[Selection Option]],";"))),,T$12),"")</f>
        <v/>
      </c>
      <c r="U18" s="41" t="str" cm="1">
        <f t="array" ref="U18">IFERROR(INDEX(_xlfn.UNIQUE(TRIM(_xlfn.TEXTSPLIT(Table2511[[#This Row],[Selection Option]:[Selection Option]],";"))),,U$12),"")</f>
        <v/>
      </c>
      <c r="V18" s="41" t="str" cm="1">
        <f t="array" ref="V18">IFERROR(INDEX(_xlfn.UNIQUE(TRIM(_xlfn.TEXTSPLIT(Table2511[[#This Row],[Selection Option]:[Selection Option]],";"))),,V$12),"")</f>
        <v/>
      </c>
      <c r="W18" s="30" cm="1">
        <f t="array" ref="W18">IF(Table2511[[#This Row],[1]]="","",Table2511[[#This Row],[Weight]:[Weight]]-(Table2511[[#This Row],[Weight]:[Weight]]*((_xlfn.XMATCH(Table2511[[#This Row],[1]],Table2511[[#This Row],[1]:[11]],0))-1)/(COUNTA(Table2511[[#This Row],[1]:[11]])-COUNTBLANK(Table2511[[#This Row],[1]:[11]])-1)))</f>
        <v>2.097902097902098E-2</v>
      </c>
      <c r="X18" s="30" cm="1">
        <f t="array" ref="X18">IF(Table2511[[#This Row],[2]]="","",Table2511[[#This Row],[Weight]:[Weight]]-(Table2511[[#This Row],[Weight]:[Weight]]*((_xlfn.XMATCH(Table2511[[#This Row],[2]],Table2511[[#This Row],[1]:[11]],0))-1)/(COUNTA(Table2511[[#This Row],[1]:[11]])-COUNTBLANK(Table2511[[#This Row],[1]:[11]])-1)))</f>
        <v>1.048951048951049E-2</v>
      </c>
      <c r="Y18" s="30" cm="1">
        <f t="array" ref="Y18">IF(Table2511[[#This Row],[3]]="","",Table2511[[#This Row],[Weight]:[Weight]]-(Table2511[[#This Row],[Weight]:[Weight]]*((_xlfn.XMATCH(Table2511[[#This Row],[3]],Table2511[[#This Row],[1]:[11]],0))-1)/(COUNTA(Table2511[[#This Row],[1]:[11]])-COUNTBLANK(Table2511[[#This Row],[1]:[11]])-1)))</f>
        <v>0</v>
      </c>
      <c r="Z18" s="30" t="str" cm="1">
        <f t="array" ref="Z18">IF(Table2511[[#This Row],[4]]="","",Table2511[[#This Row],[Weight]:[Weight]]-(Table2511[[#This Row],[Weight]:[Weight]]*((_xlfn.XMATCH(Table2511[[#This Row],[4]],Table2511[[#This Row],[1]:[11]],0))-1)/(COUNTA(Table2511[[#This Row],[1]:[11]])-COUNTBLANK(Table2511[[#This Row],[1]:[11]])-1)))</f>
        <v/>
      </c>
      <c r="AA18" s="30" t="str" cm="1">
        <f t="array" ref="AA18">IF(Table2511[[#This Row],[5]]="","",Table2511[[#This Row],[Weight]:[Weight]]-(Table2511[[#This Row],[Weight]:[Weight]]*((_xlfn.XMATCH(Table2511[[#This Row],[5]],Table2511[[#This Row],[1]:[11]],0))-1)/(COUNTA(Table2511[[#This Row],[1]:[11]])-COUNTBLANK(Table2511[[#This Row],[1]:[11]])-1)))</f>
        <v/>
      </c>
      <c r="AB18" s="30" t="str" cm="1">
        <f t="array" ref="AB18">IF(Table2511[[#This Row],[6]]="","",Table2511[[#This Row],[Weight]:[Weight]]-(Table2511[[#This Row],[Weight]:[Weight]]*((_xlfn.XMATCH(Table2511[[#This Row],[6]],Table2511[[#This Row],[1]:[11]],0))-1)/(COUNTA(Table2511[[#This Row],[1]:[11]])-COUNTBLANK(Table2511[[#This Row],[1]:[11]])-1)))</f>
        <v/>
      </c>
      <c r="AC18" s="30" t="str" cm="1">
        <f t="array" ref="AC18">IF(Table2511[[#This Row],[7]]="","",Table2511[[#This Row],[Weight]:[Weight]]-(Table2511[[#This Row],[Weight]:[Weight]]*((_xlfn.XMATCH(Table2511[[#This Row],[7]],Table2511[[#This Row],[1]:[11]],0))-1)/(COUNTA(Table2511[[#This Row],[1]:[11]])-COUNTBLANK(Table2511[[#This Row],[1]:[11]])-1)))</f>
        <v/>
      </c>
      <c r="AD18" s="30" t="str" cm="1">
        <f t="array" ref="AD18">IF(Table2511[[#This Row],[8]]="","",Table2511[[#This Row],[Weight]:[Weight]]-(Table2511[[#This Row],[Weight]:[Weight]]*((_xlfn.XMATCH(Table2511[[#This Row],[8]],Table2511[[#This Row],[1]:[11]],0))-1)/(COUNTA(Table2511[[#This Row],[1]:[11]])-COUNTBLANK(Table2511[[#This Row],[1]:[11]])-1)))</f>
        <v/>
      </c>
      <c r="AE18" s="41" t="str" cm="1">
        <f t="array" ref="AE18">IF(Table2511[[#This Row],[9]]="","",Table2511[[#This Row],[Weight]:[Weight]]-(Table2511[[#This Row],[Weight]:[Weight]]*((_xlfn.XMATCH(Table2511[[#This Row],[9]],Table2511[[#This Row],[1]:[11]],0))-1)/(COUNTA(Table2511[[#This Row],[1]:[11]])-COUNTBLANK(Table2511[[#This Row],[1]:[11]])-1)))</f>
        <v/>
      </c>
      <c r="AF18" s="41" t="str" cm="1">
        <f t="array" ref="AF18">IF(Table2511[[#This Row],[10]]="","",Table2511[[#This Row],[Weight]:[Weight]]-(Table2511[[#This Row],[Weight]:[Weight]]*((_xlfn.XMATCH(Table2511[[#This Row],[10]],Table2511[[#This Row],[1]:[11]],0))-1)/(COUNTA(Table2511[[#This Row],[1]:[11]])-COUNTBLANK(Table2511[[#This Row],[1]:[11]])-1)))</f>
        <v/>
      </c>
      <c r="AG18" s="41" t="str" cm="1">
        <f t="array" ref="AG18">IF(Table2511[[#This Row],[11]]="","",Table2511[[#This Row],[Weight]:[Weight]]-(Table2511[[#This Row],[Weight]:[Weight]]*((_xlfn.XMATCH(Table2511[[#This Row],[11]],Table2511[[#This Row],[1]:[11]],0))-1)/(COUNTA(Table2511[[#This Row],[1]:[11]])-COUNTBLANK(Table2511[[#This Row],[1]:[11]])-1)))</f>
        <v/>
      </c>
    </row>
    <row r="19" spans="1:33" ht="72" x14ac:dyDescent="0.2">
      <c r="A19" s="117" t="s">
        <v>132</v>
      </c>
      <c r="B19" s="21" t="s">
        <v>133</v>
      </c>
      <c r="C19" s="204" t="s">
        <v>134</v>
      </c>
      <c r="D19" s="22" t="s">
        <v>60</v>
      </c>
      <c r="E19" s="23" cm="1">
        <f t="array" ref="E19">_xlfn.IFS(D19="","",D19="No interest",0,D19="Nice to have",1,D19="Useful",2,D19="Important",3,D19="Very important",4,D19="Critical",5,D19="Show stopper",6)</f>
        <v>6</v>
      </c>
      <c r="F19" s="24">
        <f t="shared" si="0"/>
        <v>2.097902097902098E-2</v>
      </c>
      <c r="G19" s="25" t="s">
        <v>403</v>
      </c>
      <c r="H19" s="25" t="str" cm="1">
        <f t="array" ref="H19">_xlfn.TEXTJOIN(" "&amp;CHAR(10),,TEXT(SUBSTITUTE(Table2511[[#This Row],[12]:[22]],".",","),"0,00%"))</f>
        <v>0,020979020979021 
0,0104895104895105 
0,00%</v>
      </c>
      <c r="I19" s="26" t="s">
        <v>404</v>
      </c>
      <c r="J19" s="27">
        <f>F19-(F19*((MATCH(Table2511[[#This Row],[Evaluators Response (SELECT)]],Table2511[[#This Row],[1]:[11]],0)-1)/(COUNTA(Table2511[[#This Row],[1]:[11]])-COUNTBLANK(Table2511[[#This Row],[1]:[11]])-1)))</f>
        <v>0</v>
      </c>
      <c r="K19" s="28"/>
      <c r="L19" s="41" t="str" cm="1">
        <f t="array" ref="L19">IFERROR(INDEX(_xlfn.UNIQUE(TRIM(_xlfn.TEXTSPLIT(Table2511[[#This Row],[Selection Option]:[Selection Option]],";"))),,L$12),"")</f>
        <v>1. Extensive functionality available</v>
      </c>
      <c r="M19" s="41" t="str" cm="1">
        <f t="array" ref="M19">IFERROR(INDEX(_xlfn.UNIQUE(TRIM(_xlfn.TEXTSPLIT(Table2511[[#This Row],[Selection Option]:[Selection Option]],";"))),,M$12),"")</f>
        <v xml:space="preserve">
2. Limited functionality available</v>
      </c>
      <c r="N19" s="41" t="str" cm="1">
        <f t="array" ref="N19">IFERROR(INDEX(_xlfn.UNIQUE(TRIM(_xlfn.TEXTSPLIT(Table2511[[#This Row],[Selection Option]:[Selection Option]],";"))),,N$12),"")</f>
        <v xml:space="preserve">
3. Functionality not available</v>
      </c>
      <c r="O19" s="41" t="str" cm="1">
        <f t="array" ref="O19">IFERROR(INDEX(_xlfn.UNIQUE(TRIM(_xlfn.TEXTSPLIT(Table2511[[#This Row],[Selection Option]:[Selection Option]],";"))),,O$12),"")</f>
        <v/>
      </c>
      <c r="P19" s="41" t="str" cm="1">
        <f t="array" ref="P19">IFERROR(INDEX(_xlfn.UNIQUE(TRIM(_xlfn.TEXTSPLIT(Table2511[[#This Row],[Selection Option]:[Selection Option]],";"))),,P$12),"")</f>
        <v/>
      </c>
      <c r="Q19" s="41" t="str" cm="1">
        <f t="array" ref="Q19">IFERROR(INDEX(_xlfn.UNIQUE(TRIM(_xlfn.TEXTSPLIT(Table2511[[#This Row],[Selection Option]:[Selection Option]],";"))),,Q$12),"")</f>
        <v/>
      </c>
      <c r="R19" s="41" t="str" cm="1">
        <f t="array" ref="R19">IFERROR(INDEX(_xlfn.UNIQUE(TRIM(_xlfn.TEXTSPLIT(Table2511[[#This Row],[Selection Option]:[Selection Option]],";"))),,R$12),"")</f>
        <v/>
      </c>
      <c r="S19" s="41" t="str" cm="1">
        <f t="array" ref="S19">IFERROR(INDEX(_xlfn.UNIQUE(TRIM(_xlfn.TEXTSPLIT(Table2511[[#This Row],[Selection Option]:[Selection Option]],";"))),,S$12),"")</f>
        <v/>
      </c>
      <c r="T19" s="41" t="str" cm="1">
        <f t="array" ref="T19">IFERROR(INDEX(_xlfn.UNIQUE(TRIM(_xlfn.TEXTSPLIT(Table2511[[#This Row],[Selection Option]:[Selection Option]],";"))),,T$12),"")</f>
        <v/>
      </c>
      <c r="U19" s="41" t="str" cm="1">
        <f t="array" ref="U19">IFERROR(INDEX(_xlfn.UNIQUE(TRIM(_xlfn.TEXTSPLIT(Table2511[[#This Row],[Selection Option]:[Selection Option]],";"))),,U$12),"")</f>
        <v/>
      </c>
      <c r="V19" s="41" t="str" cm="1">
        <f t="array" ref="V19">IFERROR(INDEX(_xlfn.UNIQUE(TRIM(_xlfn.TEXTSPLIT(Table2511[[#This Row],[Selection Option]:[Selection Option]],";"))),,V$12),"")</f>
        <v/>
      </c>
      <c r="W19" s="30" cm="1">
        <f t="array" ref="W19">IF(Table2511[[#This Row],[1]]="","",Table2511[[#This Row],[Weight]:[Weight]]-(Table2511[[#This Row],[Weight]:[Weight]]*((_xlfn.XMATCH(Table2511[[#This Row],[1]],Table2511[[#This Row],[1]:[11]],0))-1)/(COUNTA(Table2511[[#This Row],[1]:[11]])-COUNTBLANK(Table2511[[#This Row],[1]:[11]])-1)))</f>
        <v>2.097902097902098E-2</v>
      </c>
      <c r="X19" s="30" cm="1">
        <f t="array" ref="X19">IF(Table2511[[#This Row],[2]]="","",Table2511[[#This Row],[Weight]:[Weight]]-(Table2511[[#This Row],[Weight]:[Weight]]*((_xlfn.XMATCH(Table2511[[#This Row],[2]],Table2511[[#This Row],[1]:[11]],0))-1)/(COUNTA(Table2511[[#This Row],[1]:[11]])-COUNTBLANK(Table2511[[#This Row],[1]:[11]])-1)))</f>
        <v>1.048951048951049E-2</v>
      </c>
      <c r="Y19" s="30" cm="1">
        <f t="array" ref="Y19">IF(Table2511[[#This Row],[3]]="","",Table2511[[#This Row],[Weight]:[Weight]]-(Table2511[[#This Row],[Weight]:[Weight]]*((_xlfn.XMATCH(Table2511[[#This Row],[3]],Table2511[[#This Row],[1]:[11]],0))-1)/(COUNTA(Table2511[[#This Row],[1]:[11]])-COUNTBLANK(Table2511[[#This Row],[1]:[11]])-1)))</f>
        <v>0</v>
      </c>
      <c r="Z19" s="30" t="str" cm="1">
        <f t="array" ref="Z19">IF(Table2511[[#This Row],[4]]="","",Table2511[[#This Row],[Weight]:[Weight]]-(Table2511[[#This Row],[Weight]:[Weight]]*((_xlfn.XMATCH(Table2511[[#This Row],[4]],Table2511[[#This Row],[1]:[11]],0))-1)/(COUNTA(Table2511[[#This Row],[1]:[11]])-COUNTBLANK(Table2511[[#This Row],[1]:[11]])-1)))</f>
        <v/>
      </c>
      <c r="AA19" s="30" t="str" cm="1">
        <f t="array" ref="AA19">IF(Table2511[[#This Row],[5]]="","",Table2511[[#This Row],[Weight]:[Weight]]-(Table2511[[#This Row],[Weight]:[Weight]]*((_xlfn.XMATCH(Table2511[[#This Row],[5]],Table2511[[#This Row],[1]:[11]],0))-1)/(COUNTA(Table2511[[#This Row],[1]:[11]])-COUNTBLANK(Table2511[[#This Row],[1]:[11]])-1)))</f>
        <v/>
      </c>
      <c r="AB19" s="30" t="str" cm="1">
        <f t="array" ref="AB19">IF(Table2511[[#This Row],[6]]="","",Table2511[[#This Row],[Weight]:[Weight]]-(Table2511[[#This Row],[Weight]:[Weight]]*((_xlfn.XMATCH(Table2511[[#This Row],[6]],Table2511[[#This Row],[1]:[11]],0))-1)/(COUNTA(Table2511[[#This Row],[1]:[11]])-COUNTBLANK(Table2511[[#This Row],[1]:[11]])-1)))</f>
        <v/>
      </c>
      <c r="AC19" s="30" t="str" cm="1">
        <f t="array" ref="AC19">IF(Table2511[[#This Row],[7]]="","",Table2511[[#This Row],[Weight]:[Weight]]-(Table2511[[#This Row],[Weight]:[Weight]]*((_xlfn.XMATCH(Table2511[[#This Row],[7]],Table2511[[#This Row],[1]:[11]],0))-1)/(COUNTA(Table2511[[#This Row],[1]:[11]])-COUNTBLANK(Table2511[[#This Row],[1]:[11]])-1)))</f>
        <v/>
      </c>
      <c r="AD19" s="30" t="str" cm="1">
        <f t="array" ref="AD19">IF(Table2511[[#This Row],[8]]="","",Table2511[[#This Row],[Weight]:[Weight]]-(Table2511[[#This Row],[Weight]:[Weight]]*((_xlfn.XMATCH(Table2511[[#This Row],[8]],Table2511[[#This Row],[1]:[11]],0))-1)/(COUNTA(Table2511[[#This Row],[1]:[11]])-COUNTBLANK(Table2511[[#This Row],[1]:[11]])-1)))</f>
        <v/>
      </c>
      <c r="AE19" s="41" t="str" cm="1">
        <f t="array" ref="AE19">IF(Table2511[[#This Row],[9]]="","",Table2511[[#This Row],[Weight]:[Weight]]-(Table2511[[#This Row],[Weight]:[Weight]]*((_xlfn.XMATCH(Table2511[[#This Row],[9]],Table2511[[#This Row],[1]:[11]],0))-1)/(COUNTA(Table2511[[#This Row],[1]:[11]])-COUNTBLANK(Table2511[[#This Row],[1]:[11]])-1)))</f>
        <v/>
      </c>
      <c r="AF19" s="41" t="str" cm="1">
        <f t="array" ref="AF19">IF(Table2511[[#This Row],[10]]="","",Table2511[[#This Row],[Weight]:[Weight]]-(Table2511[[#This Row],[Weight]:[Weight]]*((_xlfn.XMATCH(Table2511[[#This Row],[10]],Table2511[[#This Row],[1]:[11]],0))-1)/(COUNTA(Table2511[[#This Row],[1]:[11]])-COUNTBLANK(Table2511[[#This Row],[1]:[11]])-1)))</f>
        <v/>
      </c>
      <c r="AG19" s="41" t="str" cm="1">
        <f t="array" ref="AG19">IF(Table2511[[#This Row],[11]]="","",Table2511[[#This Row],[Weight]:[Weight]]-(Table2511[[#This Row],[Weight]:[Weight]]*((_xlfn.XMATCH(Table2511[[#This Row],[11]],Table2511[[#This Row],[1]:[11]],0))-1)/(COUNTA(Table2511[[#This Row],[1]:[11]])-COUNTBLANK(Table2511[[#This Row],[1]:[11]])-1)))</f>
        <v/>
      </c>
    </row>
    <row r="20" spans="1:33" ht="72" x14ac:dyDescent="0.2">
      <c r="A20" s="117" t="s">
        <v>135</v>
      </c>
      <c r="B20" s="21" t="s">
        <v>136</v>
      </c>
      <c r="C20" s="204" t="s">
        <v>137</v>
      </c>
      <c r="D20" s="22" t="s">
        <v>106</v>
      </c>
      <c r="E20" s="23" cm="1">
        <f t="array" ref="E20">_xlfn.IFS(D20="","",D20="No interest",0,D20="Nice to have",1,D20="Useful",2,D20="Important",3,D20="Very important",4,D20="Critical",5,D20="Show stopper",6)</f>
        <v>5</v>
      </c>
      <c r="F20" s="24">
        <f t="shared" si="0"/>
        <v>1.7482517482517484E-2</v>
      </c>
      <c r="G20" s="25" t="s">
        <v>403</v>
      </c>
      <c r="H20" s="25" t="str" cm="1">
        <f t="array" ref="H20">_xlfn.TEXTJOIN(" "&amp;CHAR(10),,TEXT(SUBSTITUTE(Table2511[[#This Row],[12]:[22]],".",","),"0,00%"))</f>
        <v>0,0174825174825175 
0,00874125874125874 
0,00%</v>
      </c>
      <c r="I20" s="26" t="s">
        <v>404</v>
      </c>
      <c r="J20" s="27">
        <f>F20-(F20*((MATCH(Table2511[[#This Row],[Evaluators Response (SELECT)]],Table2511[[#This Row],[1]:[11]],0)-1)/(COUNTA(Table2511[[#This Row],[1]:[11]])-COUNTBLANK(Table2511[[#This Row],[1]:[11]])-1)))</f>
        <v>0</v>
      </c>
      <c r="K20" s="28"/>
      <c r="L20" s="122" t="str" cm="1">
        <f t="array" ref="L20">IFERROR(INDEX(_xlfn.UNIQUE(TRIM(_xlfn.TEXTSPLIT(Table2511[[#This Row],[Selection Option]:[Selection Option]],";"))),,L$12),"")</f>
        <v>1. Extensive functionality available</v>
      </c>
      <c r="M20" s="41" t="str" cm="1">
        <f t="array" ref="M20">IFERROR(INDEX(_xlfn.UNIQUE(TRIM(_xlfn.TEXTSPLIT(Table2511[[#This Row],[Selection Option]:[Selection Option]],";"))),,M$12),"")</f>
        <v xml:space="preserve">
2. Limited functionality available</v>
      </c>
      <c r="N20" s="41" t="str" cm="1">
        <f t="array" ref="N20">IFERROR(INDEX(_xlfn.UNIQUE(TRIM(_xlfn.TEXTSPLIT(Table2511[[#This Row],[Selection Option]:[Selection Option]],";"))),,N$12),"")</f>
        <v xml:space="preserve">
3. Functionality not available</v>
      </c>
      <c r="O20" s="41" t="str" cm="1">
        <f t="array" ref="O20">IFERROR(INDEX(_xlfn.UNIQUE(TRIM(_xlfn.TEXTSPLIT(Table2511[[#This Row],[Selection Option]:[Selection Option]],";"))),,O$12),"")</f>
        <v/>
      </c>
      <c r="P20" s="41" t="str" cm="1">
        <f t="array" ref="P20">IFERROR(INDEX(_xlfn.UNIQUE(TRIM(_xlfn.TEXTSPLIT(Table2511[[#This Row],[Selection Option]:[Selection Option]],";"))),,P$12),"")</f>
        <v/>
      </c>
      <c r="Q20" s="41" t="str" cm="1">
        <f t="array" ref="Q20">IFERROR(INDEX(_xlfn.UNIQUE(TRIM(_xlfn.TEXTSPLIT(Table2511[[#This Row],[Selection Option]:[Selection Option]],";"))),,Q$12),"")</f>
        <v/>
      </c>
      <c r="R20" s="41" t="str" cm="1">
        <f t="array" ref="R20">IFERROR(INDEX(_xlfn.UNIQUE(TRIM(_xlfn.TEXTSPLIT(Table2511[[#This Row],[Selection Option]:[Selection Option]],";"))),,R$12),"")</f>
        <v/>
      </c>
      <c r="S20" s="41" t="str" cm="1">
        <f t="array" ref="S20">IFERROR(INDEX(_xlfn.UNIQUE(TRIM(_xlfn.TEXTSPLIT(Table2511[[#This Row],[Selection Option]:[Selection Option]],";"))),,S$12),"")</f>
        <v/>
      </c>
      <c r="T20" s="41" t="str" cm="1">
        <f t="array" ref="T20">IFERROR(INDEX(_xlfn.UNIQUE(TRIM(_xlfn.TEXTSPLIT(Table2511[[#This Row],[Selection Option]:[Selection Option]],";"))),,T$12),"")</f>
        <v/>
      </c>
      <c r="U20" s="41" t="str" cm="1">
        <f t="array" ref="U20">IFERROR(INDEX(_xlfn.UNIQUE(TRIM(_xlfn.TEXTSPLIT(Table2511[[#This Row],[Selection Option]:[Selection Option]],";"))),,U$12),"")</f>
        <v/>
      </c>
      <c r="V20" s="41" t="str" cm="1">
        <f t="array" ref="V20">IFERROR(INDEX(_xlfn.UNIQUE(TRIM(_xlfn.TEXTSPLIT(Table2511[[#This Row],[Selection Option]:[Selection Option]],";"))),,V$12),"")</f>
        <v/>
      </c>
      <c r="W20" s="30" cm="1">
        <f t="array" ref="W20">IF(Table2511[[#This Row],[1]]="","",Table2511[[#This Row],[Weight]:[Weight]]-(Table2511[[#This Row],[Weight]:[Weight]]*((_xlfn.XMATCH(Table2511[[#This Row],[1]],Table2511[[#This Row],[1]:[11]],0))-1)/(COUNTA(Table2511[[#This Row],[1]:[11]])-COUNTBLANK(Table2511[[#This Row],[1]:[11]])-1)))</f>
        <v>1.7482517482517484E-2</v>
      </c>
      <c r="X20" s="30" cm="1">
        <f t="array" ref="X20">IF(Table2511[[#This Row],[2]]="","",Table2511[[#This Row],[Weight]:[Weight]]-(Table2511[[#This Row],[Weight]:[Weight]]*((_xlfn.XMATCH(Table2511[[#This Row],[2]],Table2511[[#This Row],[1]:[11]],0))-1)/(COUNTA(Table2511[[#This Row],[1]:[11]])-COUNTBLANK(Table2511[[#This Row],[1]:[11]])-1)))</f>
        <v>8.7412587412587419E-3</v>
      </c>
      <c r="Y20" s="30" cm="1">
        <f t="array" ref="Y20">IF(Table2511[[#This Row],[3]]="","",Table2511[[#This Row],[Weight]:[Weight]]-(Table2511[[#This Row],[Weight]:[Weight]]*((_xlfn.XMATCH(Table2511[[#This Row],[3]],Table2511[[#This Row],[1]:[11]],0))-1)/(COUNTA(Table2511[[#This Row],[1]:[11]])-COUNTBLANK(Table2511[[#This Row],[1]:[11]])-1)))</f>
        <v>0</v>
      </c>
      <c r="Z20" s="30" t="str" cm="1">
        <f t="array" ref="Z20">IF(Table2511[[#This Row],[4]]="","",Table2511[[#This Row],[Weight]:[Weight]]-(Table2511[[#This Row],[Weight]:[Weight]]*((_xlfn.XMATCH(Table2511[[#This Row],[4]],Table2511[[#This Row],[1]:[11]],0))-1)/(COUNTA(Table2511[[#This Row],[1]:[11]])-COUNTBLANK(Table2511[[#This Row],[1]:[11]])-1)))</f>
        <v/>
      </c>
      <c r="AA20" s="30" t="str" cm="1">
        <f t="array" ref="AA20">IF(Table2511[[#This Row],[5]]="","",Table2511[[#This Row],[Weight]:[Weight]]-(Table2511[[#This Row],[Weight]:[Weight]]*((_xlfn.XMATCH(Table2511[[#This Row],[5]],Table2511[[#This Row],[1]:[11]],0))-1)/(COUNTA(Table2511[[#This Row],[1]:[11]])-COUNTBLANK(Table2511[[#This Row],[1]:[11]])-1)))</f>
        <v/>
      </c>
      <c r="AB20" s="30" t="str" cm="1">
        <f t="array" ref="AB20">IF(Table2511[[#This Row],[6]]="","",Table2511[[#This Row],[Weight]:[Weight]]-(Table2511[[#This Row],[Weight]:[Weight]]*((_xlfn.XMATCH(Table2511[[#This Row],[6]],Table2511[[#This Row],[1]:[11]],0))-1)/(COUNTA(Table2511[[#This Row],[1]:[11]])-COUNTBLANK(Table2511[[#This Row],[1]:[11]])-1)))</f>
        <v/>
      </c>
      <c r="AC20" s="30" t="str" cm="1">
        <f t="array" ref="AC20">IF(Table2511[[#This Row],[7]]="","",Table2511[[#This Row],[Weight]:[Weight]]-(Table2511[[#This Row],[Weight]:[Weight]]*((_xlfn.XMATCH(Table2511[[#This Row],[7]],Table2511[[#This Row],[1]:[11]],0))-1)/(COUNTA(Table2511[[#This Row],[1]:[11]])-COUNTBLANK(Table2511[[#This Row],[1]:[11]])-1)))</f>
        <v/>
      </c>
      <c r="AD20" s="30" t="str" cm="1">
        <f t="array" ref="AD20">IF(Table2511[[#This Row],[8]]="","",Table2511[[#This Row],[Weight]:[Weight]]-(Table2511[[#This Row],[Weight]:[Weight]]*((_xlfn.XMATCH(Table2511[[#This Row],[8]],Table2511[[#This Row],[1]:[11]],0))-1)/(COUNTA(Table2511[[#This Row],[1]:[11]])-COUNTBLANK(Table2511[[#This Row],[1]:[11]])-1)))</f>
        <v/>
      </c>
      <c r="AE20" s="30" t="str" cm="1">
        <f t="array" ref="AE20">IF(Table2511[[#This Row],[9]]="","",Table2511[[#This Row],[Weight]:[Weight]]-(Table2511[[#This Row],[Weight]:[Weight]]*((_xlfn.XMATCH(Table2511[[#This Row],[9]],Table2511[[#This Row],[1]:[11]],0))-1)/(COUNTA(Table2511[[#This Row],[1]:[11]])-COUNTBLANK(Table2511[[#This Row],[1]:[11]])-1)))</f>
        <v/>
      </c>
      <c r="AF20" s="30" t="str" cm="1">
        <f t="array" ref="AF20">IF(Table2511[[#This Row],[10]]="","",Table2511[[#This Row],[Weight]:[Weight]]-(Table2511[[#This Row],[Weight]:[Weight]]*((_xlfn.XMATCH(Table2511[[#This Row],[10]],Table2511[[#This Row],[1]:[11]],0))-1)/(COUNTA(Table2511[[#This Row],[1]:[11]])-COUNTBLANK(Table2511[[#This Row],[1]:[11]])-1)))</f>
        <v/>
      </c>
      <c r="AG20" s="30" t="str" cm="1">
        <f t="array" ref="AG20">IF(Table2511[[#This Row],[11]]="","",Table2511[[#This Row],[Weight]:[Weight]]-(Table2511[[#This Row],[Weight]:[Weight]]*((_xlfn.XMATCH(Table2511[[#This Row],[11]],Table2511[[#This Row],[1]:[11]],0))-1)/(COUNTA(Table2511[[#This Row],[1]:[11]])-COUNTBLANK(Table2511[[#This Row],[1]:[11]])-1)))</f>
        <v/>
      </c>
    </row>
    <row r="21" spans="1:33" ht="72" x14ac:dyDescent="0.2">
      <c r="A21" s="117" t="s">
        <v>138</v>
      </c>
      <c r="B21" s="21" t="s">
        <v>139</v>
      </c>
      <c r="C21" s="204" t="s">
        <v>140</v>
      </c>
      <c r="D21" s="22" t="s">
        <v>106</v>
      </c>
      <c r="E21" s="23" cm="1">
        <f t="array" ref="E21">_xlfn.IFS(D21="","",D21="No interest",0,D21="Nice to have",1,D21="Useful",2,D21="Important",3,D21="Very important",4,D21="Critical",5,D21="Show stopper",6)</f>
        <v>5</v>
      </c>
      <c r="F21" s="24">
        <f t="shared" si="0"/>
        <v>1.7482517482517484E-2</v>
      </c>
      <c r="G21" s="25" t="s">
        <v>403</v>
      </c>
      <c r="H21" s="25" t="str" cm="1">
        <f t="array" ref="H21">_xlfn.TEXTJOIN(" "&amp;CHAR(10),,TEXT(SUBSTITUTE(Table2511[[#This Row],[12]:[22]],".",","),"0,00%"))</f>
        <v>0,0174825174825175 
0,00874125874125874 
0,00%</v>
      </c>
      <c r="I21" s="26" t="s">
        <v>404</v>
      </c>
      <c r="J21" s="27">
        <f>F21-(F21*((MATCH(Table2511[[#This Row],[Evaluators Response (SELECT)]],Table2511[[#This Row],[1]:[11]],0)-1)/(COUNTA(Table2511[[#This Row],[1]:[11]])-COUNTBLANK(Table2511[[#This Row],[1]:[11]])-1)))</f>
        <v>0</v>
      </c>
      <c r="K21" s="28"/>
      <c r="L21" s="122" t="str" cm="1">
        <f t="array" ref="L21">IFERROR(INDEX(_xlfn.UNIQUE(TRIM(_xlfn.TEXTSPLIT(Table2511[[#This Row],[Selection Option]:[Selection Option]],";"))),,L$12),"")</f>
        <v>1. Extensive functionality available</v>
      </c>
      <c r="M21" s="41" t="str" cm="1">
        <f t="array" ref="M21">IFERROR(INDEX(_xlfn.UNIQUE(TRIM(_xlfn.TEXTSPLIT(Table2511[[#This Row],[Selection Option]:[Selection Option]],";"))),,M$12),"")</f>
        <v xml:space="preserve">
2. Limited functionality available</v>
      </c>
      <c r="N21" s="41" t="str" cm="1">
        <f t="array" ref="N21">IFERROR(INDEX(_xlfn.UNIQUE(TRIM(_xlfn.TEXTSPLIT(Table2511[[#This Row],[Selection Option]:[Selection Option]],";"))),,N$12),"")</f>
        <v xml:space="preserve">
3. Functionality not available</v>
      </c>
      <c r="O21" s="41" t="str" cm="1">
        <f t="array" ref="O21">IFERROR(INDEX(_xlfn.UNIQUE(TRIM(_xlfn.TEXTSPLIT(Table2511[[#This Row],[Selection Option]:[Selection Option]],";"))),,O$12),"")</f>
        <v/>
      </c>
      <c r="P21" s="41" t="str" cm="1">
        <f t="array" ref="P21">IFERROR(INDEX(_xlfn.UNIQUE(TRIM(_xlfn.TEXTSPLIT(Table2511[[#This Row],[Selection Option]:[Selection Option]],";"))),,P$12),"")</f>
        <v/>
      </c>
      <c r="Q21" s="41" t="str" cm="1">
        <f t="array" ref="Q21">IFERROR(INDEX(_xlfn.UNIQUE(TRIM(_xlfn.TEXTSPLIT(Table2511[[#This Row],[Selection Option]:[Selection Option]],";"))),,Q$12),"")</f>
        <v/>
      </c>
      <c r="R21" s="41" t="str" cm="1">
        <f t="array" ref="R21">IFERROR(INDEX(_xlfn.UNIQUE(TRIM(_xlfn.TEXTSPLIT(Table2511[[#This Row],[Selection Option]:[Selection Option]],";"))),,R$12),"")</f>
        <v/>
      </c>
      <c r="S21" s="41" t="str" cm="1">
        <f t="array" ref="S21">IFERROR(INDEX(_xlfn.UNIQUE(TRIM(_xlfn.TEXTSPLIT(Table2511[[#This Row],[Selection Option]:[Selection Option]],";"))),,S$12),"")</f>
        <v/>
      </c>
      <c r="T21" s="41" t="str" cm="1">
        <f t="array" ref="T21">IFERROR(INDEX(_xlfn.UNIQUE(TRIM(_xlfn.TEXTSPLIT(Table2511[[#This Row],[Selection Option]:[Selection Option]],";"))),,T$12),"")</f>
        <v/>
      </c>
      <c r="U21" s="41" t="str" cm="1">
        <f t="array" ref="U21">IFERROR(INDEX(_xlfn.UNIQUE(TRIM(_xlfn.TEXTSPLIT(Table2511[[#This Row],[Selection Option]:[Selection Option]],";"))),,U$12),"")</f>
        <v/>
      </c>
      <c r="V21" s="41" t="str" cm="1">
        <f t="array" ref="V21">IFERROR(INDEX(_xlfn.UNIQUE(TRIM(_xlfn.TEXTSPLIT(Table2511[[#This Row],[Selection Option]:[Selection Option]],";"))),,V$12),"")</f>
        <v/>
      </c>
      <c r="W21" s="30" cm="1">
        <f t="array" ref="W21">IF(Table2511[[#This Row],[1]]="","",Table2511[[#This Row],[Weight]:[Weight]]-(Table2511[[#This Row],[Weight]:[Weight]]*((_xlfn.XMATCH(Table2511[[#This Row],[1]],Table2511[[#This Row],[1]:[11]],0))-1)/(COUNTA(Table2511[[#This Row],[1]:[11]])-COUNTBLANK(Table2511[[#This Row],[1]:[11]])-1)))</f>
        <v>1.7482517482517484E-2</v>
      </c>
      <c r="X21" s="30" cm="1">
        <f t="array" ref="X21">IF(Table2511[[#This Row],[2]]="","",Table2511[[#This Row],[Weight]:[Weight]]-(Table2511[[#This Row],[Weight]:[Weight]]*((_xlfn.XMATCH(Table2511[[#This Row],[2]],Table2511[[#This Row],[1]:[11]],0))-1)/(COUNTA(Table2511[[#This Row],[1]:[11]])-COUNTBLANK(Table2511[[#This Row],[1]:[11]])-1)))</f>
        <v>8.7412587412587419E-3</v>
      </c>
      <c r="Y21" s="30" cm="1">
        <f t="array" ref="Y21">IF(Table2511[[#This Row],[3]]="","",Table2511[[#This Row],[Weight]:[Weight]]-(Table2511[[#This Row],[Weight]:[Weight]]*((_xlfn.XMATCH(Table2511[[#This Row],[3]],Table2511[[#This Row],[1]:[11]],0))-1)/(COUNTA(Table2511[[#This Row],[1]:[11]])-COUNTBLANK(Table2511[[#This Row],[1]:[11]])-1)))</f>
        <v>0</v>
      </c>
      <c r="Z21" s="30" t="str" cm="1">
        <f t="array" ref="Z21">IF(Table2511[[#This Row],[4]]="","",Table2511[[#This Row],[Weight]:[Weight]]-(Table2511[[#This Row],[Weight]:[Weight]]*((_xlfn.XMATCH(Table2511[[#This Row],[4]],Table2511[[#This Row],[1]:[11]],0))-1)/(COUNTA(Table2511[[#This Row],[1]:[11]])-COUNTBLANK(Table2511[[#This Row],[1]:[11]])-1)))</f>
        <v/>
      </c>
      <c r="AA21" s="30" t="str" cm="1">
        <f t="array" ref="AA21">IF(Table2511[[#This Row],[5]]="","",Table2511[[#This Row],[Weight]:[Weight]]-(Table2511[[#This Row],[Weight]:[Weight]]*((_xlfn.XMATCH(Table2511[[#This Row],[5]],Table2511[[#This Row],[1]:[11]],0))-1)/(COUNTA(Table2511[[#This Row],[1]:[11]])-COUNTBLANK(Table2511[[#This Row],[1]:[11]])-1)))</f>
        <v/>
      </c>
      <c r="AB21" s="30" t="str" cm="1">
        <f t="array" ref="AB21">IF(Table2511[[#This Row],[6]]="","",Table2511[[#This Row],[Weight]:[Weight]]-(Table2511[[#This Row],[Weight]:[Weight]]*((_xlfn.XMATCH(Table2511[[#This Row],[6]],Table2511[[#This Row],[1]:[11]],0))-1)/(COUNTA(Table2511[[#This Row],[1]:[11]])-COUNTBLANK(Table2511[[#This Row],[1]:[11]])-1)))</f>
        <v/>
      </c>
      <c r="AC21" s="30" t="str" cm="1">
        <f t="array" ref="AC21">IF(Table2511[[#This Row],[7]]="","",Table2511[[#This Row],[Weight]:[Weight]]-(Table2511[[#This Row],[Weight]:[Weight]]*((_xlfn.XMATCH(Table2511[[#This Row],[7]],Table2511[[#This Row],[1]:[11]],0))-1)/(COUNTA(Table2511[[#This Row],[1]:[11]])-COUNTBLANK(Table2511[[#This Row],[1]:[11]])-1)))</f>
        <v/>
      </c>
      <c r="AD21" s="30" t="str" cm="1">
        <f t="array" ref="AD21">IF(Table2511[[#This Row],[8]]="","",Table2511[[#This Row],[Weight]:[Weight]]-(Table2511[[#This Row],[Weight]:[Weight]]*((_xlfn.XMATCH(Table2511[[#This Row],[8]],Table2511[[#This Row],[1]:[11]],0))-1)/(COUNTA(Table2511[[#This Row],[1]:[11]])-COUNTBLANK(Table2511[[#This Row],[1]:[11]])-1)))</f>
        <v/>
      </c>
      <c r="AE21" s="30" t="str" cm="1">
        <f t="array" ref="AE21">IF(Table2511[[#This Row],[9]]="","",Table2511[[#This Row],[Weight]:[Weight]]-(Table2511[[#This Row],[Weight]:[Weight]]*((_xlfn.XMATCH(Table2511[[#This Row],[9]],Table2511[[#This Row],[1]:[11]],0))-1)/(COUNTA(Table2511[[#This Row],[1]:[11]])-COUNTBLANK(Table2511[[#This Row],[1]:[11]])-1)))</f>
        <v/>
      </c>
      <c r="AF21" s="30" t="str" cm="1">
        <f t="array" ref="AF21">IF(Table2511[[#This Row],[10]]="","",Table2511[[#This Row],[Weight]:[Weight]]-(Table2511[[#This Row],[Weight]:[Weight]]*((_xlfn.XMATCH(Table2511[[#This Row],[10]],Table2511[[#This Row],[1]:[11]],0))-1)/(COUNTA(Table2511[[#This Row],[1]:[11]])-COUNTBLANK(Table2511[[#This Row],[1]:[11]])-1)))</f>
        <v/>
      </c>
      <c r="AG21" s="30" t="str" cm="1">
        <f t="array" ref="AG21">IF(Table2511[[#This Row],[11]]="","",Table2511[[#This Row],[Weight]:[Weight]]-(Table2511[[#This Row],[Weight]:[Weight]]*((_xlfn.XMATCH(Table2511[[#This Row],[11]],Table2511[[#This Row],[1]:[11]],0))-1)/(COUNTA(Table2511[[#This Row],[1]:[11]])-COUNTBLANK(Table2511[[#This Row],[1]:[11]])-1)))</f>
        <v/>
      </c>
    </row>
    <row r="22" spans="1:33" ht="72" x14ac:dyDescent="0.2">
      <c r="A22" s="117" t="s">
        <v>141</v>
      </c>
      <c r="B22" s="21" t="s">
        <v>142</v>
      </c>
      <c r="C22" s="204" t="s">
        <v>143</v>
      </c>
      <c r="D22" s="22" t="s">
        <v>106</v>
      </c>
      <c r="E22" s="23" cm="1">
        <f t="array" ref="E22">_xlfn.IFS(D22="","",D22="No interest",0,D22="Nice to have",1,D22="Useful",2,D22="Important",3,D22="Very important",4,D22="Critical",5,D22="Show stopper",6)</f>
        <v>5</v>
      </c>
      <c r="F22" s="24">
        <f t="shared" si="0"/>
        <v>1.7482517482517484E-2</v>
      </c>
      <c r="G22" s="25" t="s">
        <v>403</v>
      </c>
      <c r="H22" s="25" t="str" cm="1">
        <f t="array" ref="H22">_xlfn.TEXTJOIN(" "&amp;CHAR(10),,TEXT(SUBSTITUTE(Table2511[[#This Row],[12]:[22]],".",","),"0,00%"))</f>
        <v>0,0174825174825175 
0,00874125874125874 
0,00%</v>
      </c>
      <c r="I22" s="26" t="s">
        <v>404</v>
      </c>
      <c r="J22" s="27">
        <f>F22-(F22*((MATCH(Table2511[[#This Row],[Evaluators Response (SELECT)]],Table2511[[#This Row],[1]:[11]],0)-1)/(COUNTA(Table2511[[#This Row],[1]:[11]])-COUNTBLANK(Table2511[[#This Row],[1]:[11]])-1)))</f>
        <v>0</v>
      </c>
      <c r="K22" s="28"/>
      <c r="L22" s="122" t="str" cm="1">
        <f t="array" ref="L22">IFERROR(INDEX(_xlfn.UNIQUE(TRIM(_xlfn.TEXTSPLIT(Table2511[[#This Row],[Selection Option]:[Selection Option]],";"))),,L$12),"")</f>
        <v>1. Extensive functionality available</v>
      </c>
      <c r="M22" s="41" t="str" cm="1">
        <f t="array" ref="M22">IFERROR(INDEX(_xlfn.UNIQUE(TRIM(_xlfn.TEXTSPLIT(Table2511[[#This Row],[Selection Option]:[Selection Option]],";"))),,M$12),"")</f>
        <v xml:space="preserve">
2. Limited functionality available</v>
      </c>
      <c r="N22" s="41" t="str" cm="1">
        <f t="array" ref="N22">IFERROR(INDEX(_xlfn.UNIQUE(TRIM(_xlfn.TEXTSPLIT(Table2511[[#This Row],[Selection Option]:[Selection Option]],";"))),,N$12),"")</f>
        <v xml:space="preserve">
3. Functionality not available</v>
      </c>
      <c r="O22" s="41" t="str" cm="1">
        <f t="array" ref="O22">IFERROR(INDEX(_xlfn.UNIQUE(TRIM(_xlfn.TEXTSPLIT(Table2511[[#This Row],[Selection Option]:[Selection Option]],";"))),,O$12),"")</f>
        <v/>
      </c>
      <c r="P22" s="41" t="str" cm="1">
        <f t="array" ref="P22">IFERROR(INDEX(_xlfn.UNIQUE(TRIM(_xlfn.TEXTSPLIT(Table2511[[#This Row],[Selection Option]:[Selection Option]],";"))),,P$12),"")</f>
        <v/>
      </c>
      <c r="Q22" s="41" t="str" cm="1">
        <f t="array" ref="Q22">IFERROR(INDEX(_xlfn.UNIQUE(TRIM(_xlfn.TEXTSPLIT(Table2511[[#This Row],[Selection Option]:[Selection Option]],";"))),,Q$12),"")</f>
        <v/>
      </c>
      <c r="R22" s="41" t="str" cm="1">
        <f t="array" ref="R22">IFERROR(INDEX(_xlfn.UNIQUE(TRIM(_xlfn.TEXTSPLIT(Table2511[[#This Row],[Selection Option]:[Selection Option]],";"))),,R$12),"")</f>
        <v/>
      </c>
      <c r="S22" s="41" t="str" cm="1">
        <f t="array" ref="S22">IFERROR(INDEX(_xlfn.UNIQUE(TRIM(_xlfn.TEXTSPLIT(Table2511[[#This Row],[Selection Option]:[Selection Option]],";"))),,S$12),"")</f>
        <v/>
      </c>
      <c r="T22" s="41" t="str" cm="1">
        <f t="array" ref="T22">IFERROR(INDEX(_xlfn.UNIQUE(TRIM(_xlfn.TEXTSPLIT(Table2511[[#This Row],[Selection Option]:[Selection Option]],";"))),,T$12),"")</f>
        <v/>
      </c>
      <c r="U22" s="41" t="str" cm="1">
        <f t="array" ref="U22">IFERROR(INDEX(_xlfn.UNIQUE(TRIM(_xlfn.TEXTSPLIT(Table2511[[#This Row],[Selection Option]:[Selection Option]],";"))),,U$12),"")</f>
        <v/>
      </c>
      <c r="V22" s="41" t="str" cm="1">
        <f t="array" ref="V22">IFERROR(INDEX(_xlfn.UNIQUE(TRIM(_xlfn.TEXTSPLIT(Table2511[[#This Row],[Selection Option]:[Selection Option]],";"))),,V$12),"")</f>
        <v/>
      </c>
      <c r="W22" s="30" cm="1">
        <f t="array" ref="W22">IF(Table2511[[#This Row],[1]]="","",Table2511[[#This Row],[Weight]:[Weight]]-(Table2511[[#This Row],[Weight]:[Weight]]*((_xlfn.XMATCH(Table2511[[#This Row],[1]],Table2511[[#This Row],[1]:[11]],0))-1)/(COUNTA(Table2511[[#This Row],[1]:[11]])-COUNTBLANK(Table2511[[#This Row],[1]:[11]])-1)))</f>
        <v>1.7482517482517484E-2</v>
      </c>
      <c r="X22" s="30" cm="1">
        <f t="array" ref="X22">IF(Table2511[[#This Row],[2]]="","",Table2511[[#This Row],[Weight]:[Weight]]-(Table2511[[#This Row],[Weight]:[Weight]]*((_xlfn.XMATCH(Table2511[[#This Row],[2]],Table2511[[#This Row],[1]:[11]],0))-1)/(COUNTA(Table2511[[#This Row],[1]:[11]])-COUNTBLANK(Table2511[[#This Row],[1]:[11]])-1)))</f>
        <v>8.7412587412587419E-3</v>
      </c>
      <c r="Y22" s="30" cm="1">
        <f t="array" ref="Y22">IF(Table2511[[#This Row],[3]]="","",Table2511[[#This Row],[Weight]:[Weight]]-(Table2511[[#This Row],[Weight]:[Weight]]*((_xlfn.XMATCH(Table2511[[#This Row],[3]],Table2511[[#This Row],[1]:[11]],0))-1)/(COUNTA(Table2511[[#This Row],[1]:[11]])-COUNTBLANK(Table2511[[#This Row],[1]:[11]])-1)))</f>
        <v>0</v>
      </c>
      <c r="Z22" s="30" t="str" cm="1">
        <f t="array" ref="Z22">IF(Table2511[[#This Row],[4]]="","",Table2511[[#This Row],[Weight]:[Weight]]-(Table2511[[#This Row],[Weight]:[Weight]]*((_xlfn.XMATCH(Table2511[[#This Row],[4]],Table2511[[#This Row],[1]:[11]],0))-1)/(COUNTA(Table2511[[#This Row],[1]:[11]])-COUNTBLANK(Table2511[[#This Row],[1]:[11]])-1)))</f>
        <v/>
      </c>
      <c r="AA22" s="30" t="str" cm="1">
        <f t="array" ref="AA22">IF(Table2511[[#This Row],[5]]="","",Table2511[[#This Row],[Weight]:[Weight]]-(Table2511[[#This Row],[Weight]:[Weight]]*((_xlfn.XMATCH(Table2511[[#This Row],[5]],Table2511[[#This Row],[1]:[11]],0))-1)/(COUNTA(Table2511[[#This Row],[1]:[11]])-COUNTBLANK(Table2511[[#This Row],[1]:[11]])-1)))</f>
        <v/>
      </c>
      <c r="AB22" s="30" t="str" cm="1">
        <f t="array" ref="AB22">IF(Table2511[[#This Row],[6]]="","",Table2511[[#This Row],[Weight]:[Weight]]-(Table2511[[#This Row],[Weight]:[Weight]]*((_xlfn.XMATCH(Table2511[[#This Row],[6]],Table2511[[#This Row],[1]:[11]],0))-1)/(COUNTA(Table2511[[#This Row],[1]:[11]])-COUNTBLANK(Table2511[[#This Row],[1]:[11]])-1)))</f>
        <v/>
      </c>
      <c r="AC22" s="30" t="str" cm="1">
        <f t="array" ref="AC22">IF(Table2511[[#This Row],[7]]="","",Table2511[[#This Row],[Weight]:[Weight]]-(Table2511[[#This Row],[Weight]:[Weight]]*((_xlfn.XMATCH(Table2511[[#This Row],[7]],Table2511[[#This Row],[1]:[11]],0))-1)/(COUNTA(Table2511[[#This Row],[1]:[11]])-COUNTBLANK(Table2511[[#This Row],[1]:[11]])-1)))</f>
        <v/>
      </c>
      <c r="AD22" s="30" t="str" cm="1">
        <f t="array" ref="AD22">IF(Table2511[[#This Row],[8]]="","",Table2511[[#This Row],[Weight]:[Weight]]-(Table2511[[#This Row],[Weight]:[Weight]]*((_xlfn.XMATCH(Table2511[[#This Row],[8]],Table2511[[#This Row],[1]:[11]],0))-1)/(COUNTA(Table2511[[#This Row],[1]:[11]])-COUNTBLANK(Table2511[[#This Row],[1]:[11]])-1)))</f>
        <v/>
      </c>
      <c r="AE22" s="30" t="str" cm="1">
        <f t="array" ref="AE22">IF(Table2511[[#This Row],[9]]="","",Table2511[[#This Row],[Weight]:[Weight]]-(Table2511[[#This Row],[Weight]:[Weight]]*((_xlfn.XMATCH(Table2511[[#This Row],[9]],Table2511[[#This Row],[1]:[11]],0))-1)/(COUNTA(Table2511[[#This Row],[1]:[11]])-COUNTBLANK(Table2511[[#This Row],[1]:[11]])-1)))</f>
        <v/>
      </c>
      <c r="AF22" s="30" t="str" cm="1">
        <f t="array" ref="AF22">IF(Table2511[[#This Row],[10]]="","",Table2511[[#This Row],[Weight]:[Weight]]-(Table2511[[#This Row],[Weight]:[Weight]]*((_xlfn.XMATCH(Table2511[[#This Row],[10]],Table2511[[#This Row],[1]:[11]],0))-1)/(COUNTA(Table2511[[#This Row],[1]:[11]])-COUNTBLANK(Table2511[[#This Row],[1]:[11]])-1)))</f>
        <v/>
      </c>
      <c r="AG22" s="30" t="str" cm="1">
        <f t="array" ref="AG22">IF(Table2511[[#This Row],[11]]="","",Table2511[[#This Row],[Weight]:[Weight]]-(Table2511[[#This Row],[Weight]:[Weight]]*((_xlfn.XMATCH(Table2511[[#This Row],[11]],Table2511[[#This Row],[1]:[11]],0))-1)/(COUNTA(Table2511[[#This Row],[1]:[11]])-COUNTBLANK(Table2511[[#This Row],[1]:[11]])-1)))</f>
        <v/>
      </c>
    </row>
    <row r="23" spans="1:33" ht="72" x14ac:dyDescent="0.2">
      <c r="A23" s="117" t="s">
        <v>144</v>
      </c>
      <c r="B23" s="21" t="s">
        <v>145</v>
      </c>
      <c r="C23" s="204" t="s">
        <v>146</v>
      </c>
      <c r="D23" s="22" t="s">
        <v>106</v>
      </c>
      <c r="E23" s="23" cm="1">
        <f t="array" ref="E23">_xlfn.IFS(D23="","",D23="No interest",0,D23="Nice to have",1,D23="Useful",2,D23="Important",3,D23="Very important",4,D23="Critical",5,D23="Show stopper",6)</f>
        <v>5</v>
      </c>
      <c r="F23" s="24">
        <f>(E23/$E$12)*$D$12</f>
        <v>1.7482517482517484E-2</v>
      </c>
      <c r="G23" s="25" t="s">
        <v>403</v>
      </c>
      <c r="H23" s="25" t="str" cm="1">
        <f t="array" ref="H23">_xlfn.TEXTJOIN(" "&amp;CHAR(10),,TEXT(SUBSTITUTE(Table2511[[#This Row],[12]:[22]],".",","),"0,00%"))</f>
        <v>0,0174825174825175 
0,00874125874125874 
0,00%</v>
      </c>
      <c r="I23" s="26" t="s">
        <v>404</v>
      </c>
      <c r="J23" s="27">
        <f>F23-(F23*((MATCH(Table2511[[#This Row],[Evaluators Response (SELECT)]],Table2511[[#This Row],[1]:[11]],0)-1)/(COUNTA(Table2511[[#This Row],[1]:[11]])-COUNTBLANK(Table2511[[#This Row],[1]:[11]])-1)))</f>
        <v>0</v>
      </c>
      <c r="K23" s="28"/>
      <c r="L23" s="122" t="str" cm="1">
        <f t="array" ref="L23">IFERROR(INDEX(_xlfn.UNIQUE(TRIM(_xlfn.TEXTSPLIT(Table2511[[#This Row],[Selection Option]:[Selection Option]],";"))),,L$12),"")</f>
        <v>1. Extensive functionality available</v>
      </c>
      <c r="M23" s="41" t="str" cm="1">
        <f t="array" ref="M23">IFERROR(INDEX(_xlfn.UNIQUE(TRIM(_xlfn.TEXTSPLIT(Table2511[[#This Row],[Selection Option]:[Selection Option]],";"))),,M$12),"")</f>
        <v xml:space="preserve">
2. Limited functionality available</v>
      </c>
      <c r="N23" s="41" t="str" cm="1">
        <f t="array" ref="N23">IFERROR(INDEX(_xlfn.UNIQUE(TRIM(_xlfn.TEXTSPLIT(Table2511[[#This Row],[Selection Option]:[Selection Option]],";"))),,N$12),"")</f>
        <v xml:space="preserve">
3. Functionality not available</v>
      </c>
      <c r="O23" s="41" t="str" cm="1">
        <f t="array" ref="O23">IFERROR(INDEX(_xlfn.UNIQUE(TRIM(_xlfn.TEXTSPLIT(Table2511[[#This Row],[Selection Option]:[Selection Option]],";"))),,O$12),"")</f>
        <v/>
      </c>
      <c r="P23" s="41" t="str" cm="1">
        <f t="array" ref="P23">IFERROR(INDEX(_xlfn.UNIQUE(TRIM(_xlfn.TEXTSPLIT(Table2511[[#This Row],[Selection Option]:[Selection Option]],";"))),,P$12),"")</f>
        <v/>
      </c>
      <c r="Q23" s="41" t="str" cm="1">
        <f t="array" ref="Q23">IFERROR(INDEX(_xlfn.UNIQUE(TRIM(_xlfn.TEXTSPLIT(Table2511[[#This Row],[Selection Option]:[Selection Option]],";"))),,Q$12),"")</f>
        <v/>
      </c>
      <c r="R23" s="41" t="str" cm="1">
        <f t="array" ref="R23">IFERROR(INDEX(_xlfn.UNIQUE(TRIM(_xlfn.TEXTSPLIT(Table2511[[#This Row],[Selection Option]:[Selection Option]],";"))),,R$12),"")</f>
        <v/>
      </c>
      <c r="S23" s="41" t="str" cm="1">
        <f t="array" ref="S23">IFERROR(INDEX(_xlfn.UNIQUE(TRIM(_xlfn.TEXTSPLIT(Table2511[[#This Row],[Selection Option]:[Selection Option]],";"))),,S$12),"")</f>
        <v/>
      </c>
      <c r="T23" s="41" t="str" cm="1">
        <f t="array" ref="T23">IFERROR(INDEX(_xlfn.UNIQUE(TRIM(_xlfn.TEXTSPLIT(Table2511[[#This Row],[Selection Option]:[Selection Option]],";"))),,T$12),"")</f>
        <v/>
      </c>
      <c r="U23" s="41" t="str" cm="1">
        <f t="array" ref="U23">IFERROR(INDEX(_xlfn.UNIQUE(TRIM(_xlfn.TEXTSPLIT(Table2511[[#This Row],[Selection Option]:[Selection Option]],";"))),,U$12),"")</f>
        <v/>
      </c>
      <c r="V23" s="41" t="str" cm="1">
        <f t="array" ref="V23">IFERROR(INDEX(_xlfn.UNIQUE(TRIM(_xlfn.TEXTSPLIT(Table2511[[#This Row],[Selection Option]:[Selection Option]],";"))),,V$12),"")</f>
        <v/>
      </c>
      <c r="W23" s="30" cm="1">
        <f t="array" ref="W23">IF(Table2511[[#This Row],[1]]="","",Table2511[[#This Row],[Weight]:[Weight]]-(Table2511[[#This Row],[Weight]:[Weight]]*((_xlfn.XMATCH(Table2511[[#This Row],[1]],Table2511[[#This Row],[1]:[11]],0))-1)/(COUNTA(Table2511[[#This Row],[1]:[11]])-COUNTBLANK(Table2511[[#This Row],[1]:[11]])-1)))</f>
        <v>1.7482517482517484E-2</v>
      </c>
      <c r="X23" s="30" cm="1">
        <f t="array" ref="X23">IF(Table2511[[#This Row],[2]]="","",Table2511[[#This Row],[Weight]:[Weight]]-(Table2511[[#This Row],[Weight]:[Weight]]*((_xlfn.XMATCH(Table2511[[#This Row],[2]],Table2511[[#This Row],[1]:[11]],0))-1)/(COUNTA(Table2511[[#This Row],[1]:[11]])-COUNTBLANK(Table2511[[#This Row],[1]:[11]])-1)))</f>
        <v>8.7412587412587419E-3</v>
      </c>
      <c r="Y23" s="30" cm="1">
        <f t="array" ref="Y23">IF(Table2511[[#This Row],[3]]="","",Table2511[[#This Row],[Weight]:[Weight]]-(Table2511[[#This Row],[Weight]:[Weight]]*((_xlfn.XMATCH(Table2511[[#This Row],[3]],Table2511[[#This Row],[1]:[11]],0))-1)/(COUNTA(Table2511[[#This Row],[1]:[11]])-COUNTBLANK(Table2511[[#This Row],[1]:[11]])-1)))</f>
        <v>0</v>
      </c>
      <c r="Z23" s="30" t="str" cm="1">
        <f t="array" ref="Z23">IF(Table2511[[#This Row],[4]]="","",Table2511[[#This Row],[Weight]:[Weight]]-(Table2511[[#This Row],[Weight]:[Weight]]*((_xlfn.XMATCH(Table2511[[#This Row],[4]],Table2511[[#This Row],[1]:[11]],0))-1)/(COUNTA(Table2511[[#This Row],[1]:[11]])-COUNTBLANK(Table2511[[#This Row],[1]:[11]])-1)))</f>
        <v/>
      </c>
      <c r="AA23" s="30" t="str" cm="1">
        <f t="array" ref="AA23">IF(Table2511[[#This Row],[5]]="","",Table2511[[#This Row],[Weight]:[Weight]]-(Table2511[[#This Row],[Weight]:[Weight]]*((_xlfn.XMATCH(Table2511[[#This Row],[5]],Table2511[[#This Row],[1]:[11]],0))-1)/(COUNTA(Table2511[[#This Row],[1]:[11]])-COUNTBLANK(Table2511[[#This Row],[1]:[11]])-1)))</f>
        <v/>
      </c>
      <c r="AB23" s="30" t="str" cm="1">
        <f t="array" ref="AB23">IF(Table2511[[#This Row],[6]]="","",Table2511[[#This Row],[Weight]:[Weight]]-(Table2511[[#This Row],[Weight]:[Weight]]*((_xlfn.XMATCH(Table2511[[#This Row],[6]],Table2511[[#This Row],[1]:[11]],0))-1)/(COUNTA(Table2511[[#This Row],[1]:[11]])-COUNTBLANK(Table2511[[#This Row],[1]:[11]])-1)))</f>
        <v/>
      </c>
      <c r="AC23" s="30" t="str" cm="1">
        <f t="array" ref="AC23">IF(Table2511[[#This Row],[7]]="","",Table2511[[#This Row],[Weight]:[Weight]]-(Table2511[[#This Row],[Weight]:[Weight]]*((_xlfn.XMATCH(Table2511[[#This Row],[7]],Table2511[[#This Row],[1]:[11]],0))-1)/(COUNTA(Table2511[[#This Row],[1]:[11]])-COUNTBLANK(Table2511[[#This Row],[1]:[11]])-1)))</f>
        <v/>
      </c>
      <c r="AD23" s="30" t="str" cm="1">
        <f t="array" ref="AD23">IF(Table2511[[#This Row],[8]]="","",Table2511[[#This Row],[Weight]:[Weight]]-(Table2511[[#This Row],[Weight]:[Weight]]*((_xlfn.XMATCH(Table2511[[#This Row],[8]],Table2511[[#This Row],[1]:[11]],0))-1)/(COUNTA(Table2511[[#This Row],[1]:[11]])-COUNTBLANK(Table2511[[#This Row],[1]:[11]])-1)))</f>
        <v/>
      </c>
      <c r="AE23" s="30" t="str" cm="1">
        <f t="array" ref="AE23">IF(Table2511[[#This Row],[9]]="","",Table2511[[#This Row],[Weight]:[Weight]]-(Table2511[[#This Row],[Weight]:[Weight]]*((_xlfn.XMATCH(Table2511[[#This Row],[9]],Table2511[[#This Row],[1]:[11]],0))-1)/(COUNTA(Table2511[[#This Row],[1]:[11]])-COUNTBLANK(Table2511[[#This Row],[1]:[11]])-1)))</f>
        <v/>
      </c>
      <c r="AF23" s="30" t="str" cm="1">
        <f t="array" ref="AF23">IF(Table2511[[#This Row],[10]]="","",Table2511[[#This Row],[Weight]:[Weight]]-(Table2511[[#This Row],[Weight]:[Weight]]*((_xlfn.XMATCH(Table2511[[#This Row],[10]],Table2511[[#This Row],[1]:[11]],0))-1)/(COUNTA(Table2511[[#This Row],[1]:[11]])-COUNTBLANK(Table2511[[#This Row],[1]:[11]])-1)))</f>
        <v/>
      </c>
      <c r="AG23" s="30" t="str" cm="1">
        <f t="array" ref="AG23">IF(Table2511[[#This Row],[11]]="","",Table2511[[#This Row],[Weight]:[Weight]]-(Table2511[[#This Row],[Weight]:[Weight]]*((_xlfn.XMATCH(Table2511[[#This Row],[11]],Table2511[[#This Row],[1]:[11]],0))-1)/(COUNTA(Table2511[[#This Row],[1]:[11]])-COUNTBLANK(Table2511[[#This Row],[1]:[11]])-1)))</f>
        <v/>
      </c>
    </row>
    <row r="24" spans="1:33" ht="72" x14ac:dyDescent="0.2">
      <c r="A24" s="117" t="s">
        <v>147</v>
      </c>
      <c r="B24" s="21" t="s">
        <v>148</v>
      </c>
      <c r="C24" s="204" t="s">
        <v>149</v>
      </c>
      <c r="D24" s="22" t="s">
        <v>106</v>
      </c>
      <c r="E24" s="23" cm="1">
        <f t="array" ref="E24">_xlfn.IFS(D24="","",D24="No interest",0,D24="Nice to have",1,D24="Useful",2,D24="Important",3,D24="Very important",4,D24="Critical",5,D24="Show stopper",6)</f>
        <v>5</v>
      </c>
      <c r="F24" s="24">
        <f t="shared" ref="F24" si="1">(E24/$E$12)*$D$12</f>
        <v>1.7482517482517484E-2</v>
      </c>
      <c r="G24" s="25" t="s">
        <v>403</v>
      </c>
      <c r="H24" s="25" t="str" cm="1">
        <f t="array" ref="H24">_xlfn.TEXTJOIN(" "&amp;CHAR(10),,TEXT(SUBSTITUTE(Table2511[[#This Row],[12]:[22]],".",","),"0,00%"))</f>
        <v>0,0174825174825175 
0,00874125874125874 
0,00%</v>
      </c>
      <c r="I24" s="26" t="s">
        <v>404</v>
      </c>
      <c r="J24" s="27">
        <f>F24-(F24*((MATCH(Table2511[[#This Row],[Evaluators Response (SELECT)]],Table2511[[#This Row],[1]:[11]],0)-1)/(COUNTA(Table2511[[#This Row],[1]:[11]])-COUNTBLANK(Table2511[[#This Row],[1]:[11]])-1)))</f>
        <v>0</v>
      </c>
      <c r="K24" s="28"/>
      <c r="L24" s="41" t="str" cm="1">
        <f t="array" ref="L24">IFERROR(INDEX(_xlfn.UNIQUE(TRIM(_xlfn.TEXTSPLIT(Table2511[[#This Row],[Selection Option]:[Selection Option]],";"))),,L$12),"")</f>
        <v>1. Extensive functionality available</v>
      </c>
      <c r="M24" s="41" t="str" cm="1">
        <f t="array" ref="M24">IFERROR(INDEX(_xlfn.UNIQUE(TRIM(_xlfn.TEXTSPLIT(Table2511[[#This Row],[Selection Option]:[Selection Option]],";"))),,M$12),"")</f>
        <v xml:space="preserve">
2. Limited functionality available</v>
      </c>
      <c r="N24" s="41" t="str" cm="1">
        <f t="array" ref="N24">IFERROR(INDEX(_xlfn.UNIQUE(TRIM(_xlfn.TEXTSPLIT(Table2511[[#This Row],[Selection Option]:[Selection Option]],";"))),,N$12),"")</f>
        <v xml:space="preserve">
3. Functionality not available</v>
      </c>
      <c r="O24" s="41" t="str" cm="1">
        <f t="array" ref="O24">IFERROR(INDEX(_xlfn.UNIQUE(TRIM(_xlfn.TEXTSPLIT(Table2511[[#This Row],[Selection Option]:[Selection Option]],";"))),,O$12),"")</f>
        <v/>
      </c>
      <c r="P24" s="41" t="str" cm="1">
        <f t="array" ref="P24">IFERROR(INDEX(_xlfn.UNIQUE(TRIM(_xlfn.TEXTSPLIT(Table2511[[#This Row],[Selection Option]:[Selection Option]],";"))),,P$12),"")</f>
        <v/>
      </c>
      <c r="Q24" s="41" t="str" cm="1">
        <f t="array" ref="Q24">IFERROR(INDEX(_xlfn.UNIQUE(TRIM(_xlfn.TEXTSPLIT(Table2511[[#This Row],[Selection Option]:[Selection Option]],";"))),,Q$12),"")</f>
        <v/>
      </c>
      <c r="R24" s="41" t="str" cm="1">
        <f t="array" ref="R24">IFERROR(INDEX(_xlfn.UNIQUE(TRIM(_xlfn.TEXTSPLIT(Table2511[[#This Row],[Selection Option]:[Selection Option]],";"))),,R$12),"")</f>
        <v/>
      </c>
      <c r="S24" s="41" t="str" cm="1">
        <f t="array" ref="S24">IFERROR(INDEX(_xlfn.UNIQUE(TRIM(_xlfn.TEXTSPLIT(Table2511[[#This Row],[Selection Option]:[Selection Option]],";"))),,S$12),"")</f>
        <v/>
      </c>
      <c r="T24" s="41" t="str" cm="1">
        <f t="array" ref="T24">IFERROR(INDEX(_xlfn.UNIQUE(TRIM(_xlfn.TEXTSPLIT(Table2511[[#This Row],[Selection Option]:[Selection Option]],";"))),,T$12),"")</f>
        <v/>
      </c>
      <c r="U24" s="41" t="str" cm="1">
        <f t="array" ref="U24">IFERROR(INDEX(_xlfn.UNIQUE(TRIM(_xlfn.TEXTSPLIT(Table2511[[#This Row],[Selection Option]:[Selection Option]],";"))),,U$12),"")</f>
        <v/>
      </c>
      <c r="V24" s="41" t="str" cm="1">
        <f t="array" ref="V24">IFERROR(INDEX(_xlfn.UNIQUE(TRIM(_xlfn.TEXTSPLIT(Table2511[[#This Row],[Selection Option]:[Selection Option]],";"))),,V$12),"")</f>
        <v/>
      </c>
      <c r="W24" s="30" cm="1">
        <f t="array" ref="W24">IF(Table2511[[#This Row],[1]]="","",Table2511[[#This Row],[Weight]:[Weight]]-(Table2511[[#This Row],[Weight]:[Weight]]*((_xlfn.XMATCH(Table2511[[#This Row],[1]],Table2511[[#This Row],[1]:[11]],0))-1)/(COUNTA(Table2511[[#This Row],[1]:[11]])-COUNTBLANK(Table2511[[#This Row],[1]:[11]])-1)))</f>
        <v>1.7482517482517484E-2</v>
      </c>
      <c r="X24" s="30" cm="1">
        <f t="array" ref="X24">IF(Table2511[[#This Row],[2]]="","",Table2511[[#This Row],[Weight]:[Weight]]-(Table2511[[#This Row],[Weight]:[Weight]]*((_xlfn.XMATCH(Table2511[[#This Row],[2]],Table2511[[#This Row],[1]:[11]],0))-1)/(COUNTA(Table2511[[#This Row],[1]:[11]])-COUNTBLANK(Table2511[[#This Row],[1]:[11]])-1)))</f>
        <v>8.7412587412587419E-3</v>
      </c>
      <c r="Y24" s="30" cm="1">
        <f t="array" ref="Y24">IF(Table2511[[#This Row],[3]]="","",Table2511[[#This Row],[Weight]:[Weight]]-(Table2511[[#This Row],[Weight]:[Weight]]*((_xlfn.XMATCH(Table2511[[#This Row],[3]],Table2511[[#This Row],[1]:[11]],0))-1)/(COUNTA(Table2511[[#This Row],[1]:[11]])-COUNTBLANK(Table2511[[#This Row],[1]:[11]])-1)))</f>
        <v>0</v>
      </c>
      <c r="Z24" s="30" t="str" cm="1">
        <f t="array" ref="Z24">IF(Table2511[[#This Row],[4]]="","",Table2511[[#This Row],[Weight]:[Weight]]-(Table2511[[#This Row],[Weight]:[Weight]]*((_xlfn.XMATCH(Table2511[[#This Row],[4]],Table2511[[#This Row],[1]:[11]],0))-1)/(COUNTA(Table2511[[#This Row],[1]:[11]])-COUNTBLANK(Table2511[[#This Row],[1]:[11]])-1)))</f>
        <v/>
      </c>
      <c r="AA24" s="30" t="str" cm="1">
        <f t="array" ref="AA24">IF(Table2511[[#This Row],[5]]="","",Table2511[[#This Row],[Weight]:[Weight]]-(Table2511[[#This Row],[Weight]:[Weight]]*((_xlfn.XMATCH(Table2511[[#This Row],[5]],Table2511[[#This Row],[1]:[11]],0))-1)/(COUNTA(Table2511[[#This Row],[1]:[11]])-COUNTBLANK(Table2511[[#This Row],[1]:[11]])-1)))</f>
        <v/>
      </c>
      <c r="AB24" s="30" t="str" cm="1">
        <f t="array" ref="AB24">IF(Table2511[[#This Row],[6]]="","",Table2511[[#This Row],[Weight]:[Weight]]-(Table2511[[#This Row],[Weight]:[Weight]]*((_xlfn.XMATCH(Table2511[[#This Row],[6]],Table2511[[#This Row],[1]:[11]],0))-1)/(COUNTA(Table2511[[#This Row],[1]:[11]])-COUNTBLANK(Table2511[[#This Row],[1]:[11]])-1)))</f>
        <v/>
      </c>
      <c r="AC24" s="30" t="str" cm="1">
        <f t="array" ref="AC24">IF(Table2511[[#This Row],[7]]="","",Table2511[[#This Row],[Weight]:[Weight]]-(Table2511[[#This Row],[Weight]:[Weight]]*((_xlfn.XMATCH(Table2511[[#This Row],[7]],Table2511[[#This Row],[1]:[11]],0))-1)/(COUNTA(Table2511[[#This Row],[1]:[11]])-COUNTBLANK(Table2511[[#This Row],[1]:[11]])-1)))</f>
        <v/>
      </c>
      <c r="AD24" s="30" t="str" cm="1">
        <f t="array" ref="AD24">IF(Table2511[[#This Row],[8]]="","",Table2511[[#This Row],[Weight]:[Weight]]-(Table2511[[#This Row],[Weight]:[Weight]]*((_xlfn.XMATCH(Table2511[[#This Row],[8]],Table2511[[#This Row],[1]:[11]],0))-1)/(COUNTA(Table2511[[#This Row],[1]:[11]])-COUNTBLANK(Table2511[[#This Row],[1]:[11]])-1)))</f>
        <v/>
      </c>
      <c r="AE24" s="41" t="str" cm="1">
        <f t="array" ref="AE24">IF(Table2511[[#This Row],[9]]="","",Table2511[[#This Row],[Weight]:[Weight]]-(Table2511[[#This Row],[Weight]:[Weight]]*((_xlfn.XMATCH(Table2511[[#This Row],[9]],Table2511[[#This Row],[1]:[11]],0))-1)/(COUNTA(Table2511[[#This Row],[1]:[11]])-COUNTBLANK(Table2511[[#This Row],[1]:[11]])-1)))</f>
        <v/>
      </c>
      <c r="AF24" s="41" t="str" cm="1">
        <f t="array" ref="AF24">IF(Table2511[[#This Row],[10]]="","",Table2511[[#This Row],[Weight]:[Weight]]-(Table2511[[#This Row],[Weight]:[Weight]]*((_xlfn.XMATCH(Table2511[[#This Row],[10]],Table2511[[#This Row],[1]:[11]],0))-1)/(COUNTA(Table2511[[#This Row],[1]:[11]])-COUNTBLANK(Table2511[[#This Row],[1]:[11]])-1)))</f>
        <v/>
      </c>
      <c r="AG24" s="41" t="str" cm="1">
        <f t="array" ref="AG24">IF(Table2511[[#This Row],[11]]="","",Table2511[[#This Row],[Weight]:[Weight]]-(Table2511[[#This Row],[Weight]:[Weight]]*((_xlfn.XMATCH(Table2511[[#This Row],[11]],Table2511[[#This Row],[1]:[11]],0))-1)/(COUNTA(Table2511[[#This Row],[1]:[11]])-COUNTBLANK(Table2511[[#This Row],[1]:[11]])-1)))</f>
        <v/>
      </c>
    </row>
    <row r="25" spans="1:33" ht="72" x14ac:dyDescent="0.2">
      <c r="A25" s="117" t="s">
        <v>150</v>
      </c>
      <c r="B25" s="21" t="s">
        <v>151</v>
      </c>
      <c r="C25" s="204" t="s">
        <v>152</v>
      </c>
      <c r="D25" s="22" t="s">
        <v>60</v>
      </c>
      <c r="E25" s="23" cm="1">
        <f t="array" ref="E25">_xlfn.IFS(D25="","",D25="No interest",0,D25="Nice to have",1,D25="Useful",2,D25="Important",3,D25="Very important",4,D25="Critical",5,D25="Show stopper",6)</f>
        <v>6</v>
      </c>
      <c r="F25" s="24">
        <f t="shared" si="0"/>
        <v>2.097902097902098E-2</v>
      </c>
      <c r="G25" s="25" t="s">
        <v>403</v>
      </c>
      <c r="H25" s="25" t="str" cm="1">
        <f t="array" ref="H25">_xlfn.TEXTJOIN(" "&amp;CHAR(10),,TEXT(SUBSTITUTE(Table2511[[#This Row],[12]:[22]],".",","),"0,00%"))</f>
        <v>0,020979020979021 
0,0104895104895105 
0,00%</v>
      </c>
      <c r="I25" s="26" t="s">
        <v>404</v>
      </c>
      <c r="J25" s="27">
        <f>F25-(F25*((MATCH(Table2511[[#This Row],[Evaluators Response (SELECT)]],Table2511[[#This Row],[1]:[11]],0)-1)/(COUNTA(Table2511[[#This Row],[1]:[11]])-COUNTBLANK(Table2511[[#This Row],[1]:[11]])-1)))</f>
        <v>0</v>
      </c>
      <c r="K25" s="28"/>
      <c r="L25" s="41" t="str" cm="1">
        <f t="array" ref="L25">IFERROR(INDEX(_xlfn.UNIQUE(TRIM(_xlfn.TEXTSPLIT(Table2511[[#This Row],[Selection Option]:[Selection Option]],";"))),,L$12),"")</f>
        <v>1. Extensive functionality available</v>
      </c>
      <c r="M25" s="41" t="str" cm="1">
        <f t="array" ref="M25">IFERROR(INDEX(_xlfn.UNIQUE(TRIM(_xlfn.TEXTSPLIT(Table2511[[#This Row],[Selection Option]:[Selection Option]],";"))),,M$12),"")</f>
        <v xml:space="preserve">
2. Limited functionality available</v>
      </c>
      <c r="N25" s="41" t="str" cm="1">
        <f t="array" ref="N25">IFERROR(INDEX(_xlfn.UNIQUE(TRIM(_xlfn.TEXTSPLIT(Table2511[[#This Row],[Selection Option]:[Selection Option]],";"))),,N$12),"")</f>
        <v xml:space="preserve">
3. Functionality not available</v>
      </c>
      <c r="O25" s="41" t="str" cm="1">
        <f t="array" ref="O25">IFERROR(INDEX(_xlfn.UNIQUE(TRIM(_xlfn.TEXTSPLIT(Table2511[[#This Row],[Selection Option]:[Selection Option]],";"))),,O$12),"")</f>
        <v/>
      </c>
      <c r="P25" s="41" t="str" cm="1">
        <f t="array" ref="P25">IFERROR(INDEX(_xlfn.UNIQUE(TRIM(_xlfn.TEXTSPLIT(Table2511[[#This Row],[Selection Option]:[Selection Option]],";"))),,P$12),"")</f>
        <v/>
      </c>
      <c r="Q25" s="41" t="str" cm="1">
        <f t="array" ref="Q25">IFERROR(INDEX(_xlfn.UNIQUE(TRIM(_xlfn.TEXTSPLIT(Table2511[[#This Row],[Selection Option]:[Selection Option]],";"))),,Q$12),"")</f>
        <v/>
      </c>
      <c r="R25" s="41" t="str" cm="1">
        <f t="array" ref="R25">IFERROR(INDEX(_xlfn.UNIQUE(TRIM(_xlfn.TEXTSPLIT(Table2511[[#This Row],[Selection Option]:[Selection Option]],";"))),,R$12),"")</f>
        <v/>
      </c>
      <c r="S25" s="41" t="str" cm="1">
        <f t="array" ref="S25">IFERROR(INDEX(_xlfn.UNIQUE(TRIM(_xlfn.TEXTSPLIT(Table2511[[#This Row],[Selection Option]:[Selection Option]],";"))),,S$12),"")</f>
        <v/>
      </c>
      <c r="T25" s="41" t="str" cm="1">
        <f t="array" ref="T25">IFERROR(INDEX(_xlfn.UNIQUE(TRIM(_xlfn.TEXTSPLIT(Table2511[[#This Row],[Selection Option]:[Selection Option]],";"))),,T$12),"")</f>
        <v/>
      </c>
      <c r="U25" s="41" t="str" cm="1">
        <f t="array" ref="U25">IFERROR(INDEX(_xlfn.UNIQUE(TRIM(_xlfn.TEXTSPLIT(Table2511[[#This Row],[Selection Option]:[Selection Option]],";"))),,U$12),"")</f>
        <v/>
      </c>
      <c r="V25" s="41" t="str" cm="1">
        <f t="array" ref="V25">IFERROR(INDEX(_xlfn.UNIQUE(TRIM(_xlfn.TEXTSPLIT(Table2511[[#This Row],[Selection Option]:[Selection Option]],";"))),,V$12),"")</f>
        <v/>
      </c>
      <c r="W25" s="30" cm="1">
        <f t="array" ref="W25">IF(Table2511[[#This Row],[1]]="","",Table2511[[#This Row],[Weight]:[Weight]]-(Table2511[[#This Row],[Weight]:[Weight]]*((_xlfn.XMATCH(Table2511[[#This Row],[1]],Table2511[[#This Row],[1]:[11]],0))-1)/(COUNTA(Table2511[[#This Row],[1]:[11]])-COUNTBLANK(Table2511[[#This Row],[1]:[11]])-1)))</f>
        <v>2.097902097902098E-2</v>
      </c>
      <c r="X25" s="30" cm="1">
        <f t="array" ref="X25">IF(Table2511[[#This Row],[2]]="","",Table2511[[#This Row],[Weight]:[Weight]]-(Table2511[[#This Row],[Weight]:[Weight]]*((_xlfn.XMATCH(Table2511[[#This Row],[2]],Table2511[[#This Row],[1]:[11]],0))-1)/(COUNTA(Table2511[[#This Row],[1]:[11]])-COUNTBLANK(Table2511[[#This Row],[1]:[11]])-1)))</f>
        <v>1.048951048951049E-2</v>
      </c>
      <c r="Y25" s="30" cm="1">
        <f t="array" ref="Y25">IF(Table2511[[#This Row],[3]]="","",Table2511[[#This Row],[Weight]:[Weight]]-(Table2511[[#This Row],[Weight]:[Weight]]*((_xlfn.XMATCH(Table2511[[#This Row],[3]],Table2511[[#This Row],[1]:[11]],0))-1)/(COUNTA(Table2511[[#This Row],[1]:[11]])-COUNTBLANK(Table2511[[#This Row],[1]:[11]])-1)))</f>
        <v>0</v>
      </c>
      <c r="Z25" s="30" t="str" cm="1">
        <f t="array" ref="Z25">IF(Table2511[[#This Row],[4]]="","",Table2511[[#This Row],[Weight]:[Weight]]-(Table2511[[#This Row],[Weight]:[Weight]]*((_xlfn.XMATCH(Table2511[[#This Row],[4]],Table2511[[#This Row],[1]:[11]],0))-1)/(COUNTA(Table2511[[#This Row],[1]:[11]])-COUNTBLANK(Table2511[[#This Row],[1]:[11]])-1)))</f>
        <v/>
      </c>
      <c r="AA25" s="30" t="str" cm="1">
        <f t="array" ref="AA25">IF(Table2511[[#This Row],[5]]="","",Table2511[[#This Row],[Weight]:[Weight]]-(Table2511[[#This Row],[Weight]:[Weight]]*((_xlfn.XMATCH(Table2511[[#This Row],[5]],Table2511[[#This Row],[1]:[11]],0))-1)/(COUNTA(Table2511[[#This Row],[1]:[11]])-COUNTBLANK(Table2511[[#This Row],[1]:[11]])-1)))</f>
        <v/>
      </c>
      <c r="AB25" s="30" t="str" cm="1">
        <f t="array" ref="AB25">IF(Table2511[[#This Row],[6]]="","",Table2511[[#This Row],[Weight]:[Weight]]-(Table2511[[#This Row],[Weight]:[Weight]]*((_xlfn.XMATCH(Table2511[[#This Row],[6]],Table2511[[#This Row],[1]:[11]],0))-1)/(COUNTA(Table2511[[#This Row],[1]:[11]])-COUNTBLANK(Table2511[[#This Row],[1]:[11]])-1)))</f>
        <v/>
      </c>
      <c r="AC25" s="30" t="str" cm="1">
        <f t="array" ref="AC25">IF(Table2511[[#This Row],[7]]="","",Table2511[[#This Row],[Weight]:[Weight]]-(Table2511[[#This Row],[Weight]:[Weight]]*((_xlfn.XMATCH(Table2511[[#This Row],[7]],Table2511[[#This Row],[1]:[11]],0))-1)/(COUNTA(Table2511[[#This Row],[1]:[11]])-COUNTBLANK(Table2511[[#This Row],[1]:[11]])-1)))</f>
        <v/>
      </c>
      <c r="AD25" s="30" t="str" cm="1">
        <f t="array" ref="AD25">IF(Table2511[[#This Row],[8]]="","",Table2511[[#This Row],[Weight]:[Weight]]-(Table2511[[#This Row],[Weight]:[Weight]]*((_xlfn.XMATCH(Table2511[[#This Row],[8]],Table2511[[#This Row],[1]:[11]],0))-1)/(COUNTA(Table2511[[#This Row],[1]:[11]])-COUNTBLANK(Table2511[[#This Row],[1]:[11]])-1)))</f>
        <v/>
      </c>
      <c r="AE25" s="41" t="str" cm="1">
        <f t="array" ref="AE25">IF(Table2511[[#This Row],[9]]="","",Table2511[[#This Row],[Weight]:[Weight]]-(Table2511[[#This Row],[Weight]:[Weight]]*((_xlfn.XMATCH(Table2511[[#This Row],[9]],Table2511[[#This Row],[1]:[11]],0))-1)/(COUNTA(Table2511[[#This Row],[1]:[11]])-COUNTBLANK(Table2511[[#This Row],[1]:[11]])-1)))</f>
        <v/>
      </c>
      <c r="AF25" s="41" t="str" cm="1">
        <f t="array" ref="AF25">IF(Table2511[[#This Row],[10]]="","",Table2511[[#This Row],[Weight]:[Weight]]-(Table2511[[#This Row],[Weight]:[Weight]]*((_xlfn.XMATCH(Table2511[[#This Row],[10]],Table2511[[#This Row],[1]:[11]],0))-1)/(COUNTA(Table2511[[#This Row],[1]:[11]])-COUNTBLANK(Table2511[[#This Row],[1]:[11]])-1)))</f>
        <v/>
      </c>
      <c r="AG25" s="41" t="str" cm="1">
        <f t="array" ref="AG25">IF(Table2511[[#This Row],[11]]="","",Table2511[[#This Row],[Weight]:[Weight]]-(Table2511[[#This Row],[Weight]:[Weight]]*((_xlfn.XMATCH(Table2511[[#This Row],[11]],Table2511[[#This Row],[1]:[11]],0))-1)/(COUNTA(Table2511[[#This Row],[1]:[11]])-COUNTBLANK(Table2511[[#This Row],[1]:[11]])-1)))</f>
        <v/>
      </c>
    </row>
    <row r="26" spans="1:33" ht="72" x14ac:dyDescent="0.2">
      <c r="A26" s="117" t="s">
        <v>153</v>
      </c>
      <c r="B26" s="21" t="s">
        <v>154</v>
      </c>
      <c r="C26" s="204" t="s">
        <v>155</v>
      </c>
      <c r="D26" s="22" t="s">
        <v>60</v>
      </c>
      <c r="E26" s="23" cm="1">
        <f t="array" ref="E26">_xlfn.IFS(D26="","",D26="No interest",0,D26="Nice to have",1,D26="Useful",2,D26="Important",3,D26="Very important",4,D26="Critical",5,D26="Show stopper",6)</f>
        <v>6</v>
      </c>
      <c r="F26" s="24">
        <f t="shared" si="0"/>
        <v>2.097902097902098E-2</v>
      </c>
      <c r="G26" s="25" t="s">
        <v>403</v>
      </c>
      <c r="H26" s="25" t="str" cm="1">
        <f t="array" ref="H26">_xlfn.TEXTJOIN(" "&amp;CHAR(10),,TEXT(SUBSTITUTE(Table2511[[#This Row],[12]:[22]],".",","),"0,00%"))</f>
        <v>0,020979020979021 
0,0104895104895105 
0,00%</v>
      </c>
      <c r="I26" s="26" t="s">
        <v>404</v>
      </c>
      <c r="J26" s="27">
        <f>F26-(F26*((MATCH(Table2511[[#This Row],[Evaluators Response (SELECT)]],Table2511[[#This Row],[1]:[11]],0)-1)/(COUNTA(Table2511[[#This Row],[1]:[11]])-COUNTBLANK(Table2511[[#This Row],[1]:[11]])-1)))</f>
        <v>0</v>
      </c>
      <c r="K26" s="28"/>
      <c r="L26" s="41" t="str" cm="1">
        <f t="array" ref="L26">IFERROR(INDEX(_xlfn.UNIQUE(TRIM(_xlfn.TEXTSPLIT(Table2511[[#This Row],[Selection Option]:[Selection Option]],";"))),,L$12),"")</f>
        <v>1. Extensive functionality available</v>
      </c>
      <c r="M26" s="41" t="str" cm="1">
        <f t="array" ref="M26">IFERROR(INDEX(_xlfn.UNIQUE(TRIM(_xlfn.TEXTSPLIT(Table2511[[#This Row],[Selection Option]:[Selection Option]],";"))),,M$12),"")</f>
        <v xml:space="preserve">
2. Limited functionality available</v>
      </c>
      <c r="N26" s="41" t="str" cm="1">
        <f t="array" ref="N26">IFERROR(INDEX(_xlfn.UNIQUE(TRIM(_xlfn.TEXTSPLIT(Table2511[[#This Row],[Selection Option]:[Selection Option]],";"))),,N$12),"")</f>
        <v xml:space="preserve">
3. Functionality not available</v>
      </c>
      <c r="O26" s="41" t="str" cm="1">
        <f t="array" ref="O26">IFERROR(INDEX(_xlfn.UNIQUE(TRIM(_xlfn.TEXTSPLIT(Table2511[[#This Row],[Selection Option]:[Selection Option]],";"))),,O$12),"")</f>
        <v/>
      </c>
      <c r="P26" s="41" t="str" cm="1">
        <f t="array" ref="P26">IFERROR(INDEX(_xlfn.UNIQUE(TRIM(_xlfn.TEXTSPLIT(Table2511[[#This Row],[Selection Option]:[Selection Option]],";"))),,P$12),"")</f>
        <v/>
      </c>
      <c r="Q26" s="41" t="str" cm="1">
        <f t="array" ref="Q26">IFERROR(INDEX(_xlfn.UNIQUE(TRIM(_xlfn.TEXTSPLIT(Table2511[[#This Row],[Selection Option]:[Selection Option]],";"))),,Q$12),"")</f>
        <v/>
      </c>
      <c r="R26" s="41" t="str" cm="1">
        <f t="array" ref="R26">IFERROR(INDEX(_xlfn.UNIQUE(TRIM(_xlfn.TEXTSPLIT(Table2511[[#This Row],[Selection Option]:[Selection Option]],";"))),,R$12),"")</f>
        <v/>
      </c>
      <c r="S26" s="41" t="str" cm="1">
        <f t="array" ref="S26">IFERROR(INDEX(_xlfn.UNIQUE(TRIM(_xlfn.TEXTSPLIT(Table2511[[#This Row],[Selection Option]:[Selection Option]],";"))),,S$12),"")</f>
        <v/>
      </c>
      <c r="T26" s="41" t="str" cm="1">
        <f t="array" ref="T26">IFERROR(INDEX(_xlfn.UNIQUE(TRIM(_xlfn.TEXTSPLIT(Table2511[[#This Row],[Selection Option]:[Selection Option]],";"))),,T$12),"")</f>
        <v/>
      </c>
      <c r="U26" s="41" t="str" cm="1">
        <f t="array" ref="U26">IFERROR(INDEX(_xlfn.UNIQUE(TRIM(_xlfn.TEXTSPLIT(Table2511[[#This Row],[Selection Option]:[Selection Option]],";"))),,U$12),"")</f>
        <v/>
      </c>
      <c r="V26" s="41" t="str" cm="1">
        <f t="array" ref="V26">IFERROR(INDEX(_xlfn.UNIQUE(TRIM(_xlfn.TEXTSPLIT(Table2511[[#This Row],[Selection Option]:[Selection Option]],";"))),,V$12),"")</f>
        <v/>
      </c>
      <c r="W26" s="30" cm="1">
        <f t="array" ref="W26">IF(Table2511[[#This Row],[1]]="","",Table2511[[#This Row],[Weight]:[Weight]]-(Table2511[[#This Row],[Weight]:[Weight]]*((_xlfn.XMATCH(Table2511[[#This Row],[1]],Table2511[[#This Row],[1]:[11]],0))-1)/(COUNTA(Table2511[[#This Row],[1]:[11]])-COUNTBLANK(Table2511[[#This Row],[1]:[11]])-1)))</f>
        <v>2.097902097902098E-2</v>
      </c>
      <c r="X26" s="30" cm="1">
        <f t="array" ref="X26">IF(Table2511[[#This Row],[2]]="","",Table2511[[#This Row],[Weight]:[Weight]]-(Table2511[[#This Row],[Weight]:[Weight]]*((_xlfn.XMATCH(Table2511[[#This Row],[2]],Table2511[[#This Row],[1]:[11]],0))-1)/(COUNTA(Table2511[[#This Row],[1]:[11]])-COUNTBLANK(Table2511[[#This Row],[1]:[11]])-1)))</f>
        <v>1.048951048951049E-2</v>
      </c>
      <c r="Y26" s="30" cm="1">
        <f t="array" ref="Y26">IF(Table2511[[#This Row],[3]]="","",Table2511[[#This Row],[Weight]:[Weight]]-(Table2511[[#This Row],[Weight]:[Weight]]*((_xlfn.XMATCH(Table2511[[#This Row],[3]],Table2511[[#This Row],[1]:[11]],0))-1)/(COUNTA(Table2511[[#This Row],[1]:[11]])-COUNTBLANK(Table2511[[#This Row],[1]:[11]])-1)))</f>
        <v>0</v>
      </c>
      <c r="Z26" s="30" t="str" cm="1">
        <f t="array" ref="Z26">IF(Table2511[[#This Row],[4]]="","",Table2511[[#This Row],[Weight]:[Weight]]-(Table2511[[#This Row],[Weight]:[Weight]]*((_xlfn.XMATCH(Table2511[[#This Row],[4]],Table2511[[#This Row],[1]:[11]],0))-1)/(COUNTA(Table2511[[#This Row],[1]:[11]])-COUNTBLANK(Table2511[[#This Row],[1]:[11]])-1)))</f>
        <v/>
      </c>
      <c r="AA26" s="30" t="str" cm="1">
        <f t="array" ref="AA26">IF(Table2511[[#This Row],[5]]="","",Table2511[[#This Row],[Weight]:[Weight]]-(Table2511[[#This Row],[Weight]:[Weight]]*((_xlfn.XMATCH(Table2511[[#This Row],[5]],Table2511[[#This Row],[1]:[11]],0))-1)/(COUNTA(Table2511[[#This Row],[1]:[11]])-COUNTBLANK(Table2511[[#This Row],[1]:[11]])-1)))</f>
        <v/>
      </c>
      <c r="AB26" s="30" t="str" cm="1">
        <f t="array" ref="AB26">IF(Table2511[[#This Row],[6]]="","",Table2511[[#This Row],[Weight]:[Weight]]-(Table2511[[#This Row],[Weight]:[Weight]]*((_xlfn.XMATCH(Table2511[[#This Row],[6]],Table2511[[#This Row],[1]:[11]],0))-1)/(COUNTA(Table2511[[#This Row],[1]:[11]])-COUNTBLANK(Table2511[[#This Row],[1]:[11]])-1)))</f>
        <v/>
      </c>
      <c r="AC26" s="30" t="str" cm="1">
        <f t="array" ref="AC26">IF(Table2511[[#This Row],[7]]="","",Table2511[[#This Row],[Weight]:[Weight]]-(Table2511[[#This Row],[Weight]:[Weight]]*((_xlfn.XMATCH(Table2511[[#This Row],[7]],Table2511[[#This Row],[1]:[11]],0))-1)/(COUNTA(Table2511[[#This Row],[1]:[11]])-COUNTBLANK(Table2511[[#This Row],[1]:[11]])-1)))</f>
        <v/>
      </c>
      <c r="AD26" s="30" t="str" cm="1">
        <f t="array" ref="AD26">IF(Table2511[[#This Row],[8]]="","",Table2511[[#This Row],[Weight]:[Weight]]-(Table2511[[#This Row],[Weight]:[Weight]]*((_xlfn.XMATCH(Table2511[[#This Row],[8]],Table2511[[#This Row],[1]:[11]],0))-1)/(COUNTA(Table2511[[#This Row],[1]:[11]])-COUNTBLANK(Table2511[[#This Row],[1]:[11]])-1)))</f>
        <v/>
      </c>
      <c r="AE26" s="41" t="str" cm="1">
        <f t="array" ref="AE26">IF(Table2511[[#This Row],[9]]="","",Table2511[[#This Row],[Weight]:[Weight]]-(Table2511[[#This Row],[Weight]:[Weight]]*((_xlfn.XMATCH(Table2511[[#This Row],[9]],Table2511[[#This Row],[1]:[11]],0))-1)/(COUNTA(Table2511[[#This Row],[1]:[11]])-COUNTBLANK(Table2511[[#This Row],[1]:[11]])-1)))</f>
        <v/>
      </c>
      <c r="AF26" s="41" t="str" cm="1">
        <f t="array" ref="AF26">IF(Table2511[[#This Row],[10]]="","",Table2511[[#This Row],[Weight]:[Weight]]-(Table2511[[#This Row],[Weight]:[Weight]]*((_xlfn.XMATCH(Table2511[[#This Row],[10]],Table2511[[#This Row],[1]:[11]],0))-1)/(COUNTA(Table2511[[#This Row],[1]:[11]])-COUNTBLANK(Table2511[[#This Row],[1]:[11]])-1)))</f>
        <v/>
      </c>
      <c r="AG26" s="41" t="str" cm="1">
        <f t="array" ref="AG26">IF(Table2511[[#This Row],[11]]="","",Table2511[[#This Row],[Weight]:[Weight]]-(Table2511[[#This Row],[Weight]:[Weight]]*((_xlfn.XMATCH(Table2511[[#This Row],[11]],Table2511[[#This Row],[1]:[11]],0))-1)/(COUNTA(Table2511[[#This Row],[1]:[11]])-COUNTBLANK(Table2511[[#This Row],[1]:[11]])-1)))</f>
        <v/>
      </c>
    </row>
    <row r="27" spans="1:33" ht="72" x14ac:dyDescent="0.2">
      <c r="A27" s="117" t="s">
        <v>156</v>
      </c>
      <c r="B27" s="21" t="s">
        <v>157</v>
      </c>
      <c r="C27" s="204" t="s">
        <v>158</v>
      </c>
      <c r="D27" s="22" t="s">
        <v>60</v>
      </c>
      <c r="E27" s="23" cm="1">
        <f t="array" ref="E27">_xlfn.IFS(D27="","",D27="No interest",0,D27="Nice to have",1,D27="Useful",2,D27="Important",3,D27="Very important",4,D27="Critical",5,D27="Show stopper",6)</f>
        <v>6</v>
      </c>
      <c r="F27" s="24">
        <f t="shared" si="0"/>
        <v>2.097902097902098E-2</v>
      </c>
      <c r="G27" s="25" t="s">
        <v>403</v>
      </c>
      <c r="H27" s="25" t="str" cm="1">
        <f t="array" ref="H27">_xlfn.TEXTJOIN(" "&amp;CHAR(10),,TEXT(SUBSTITUTE(Table2511[[#This Row],[12]:[22]],".",","),"0,00%"))</f>
        <v>0,020979020979021 
0,0104895104895105 
0,00%</v>
      </c>
      <c r="I27" s="26" t="s">
        <v>404</v>
      </c>
      <c r="J27" s="27">
        <f>F27-(F27*((MATCH(Table2511[[#This Row],[Evaluators Response (SELECT)]],Table2511[[#This Row],[1]:[11]],0)-1)/(COUNTA(Table2511[[#This Row],[1]:[11]])-COUNTBLANK(Table2511[[#This Row],[1]:[11]])-1)))</f>
        <v>0</v>
      </c>
      <c r="K27" s="28"/>
      <c r="L27" s="41" t="str" cm="1">
        <f t="array" ref="L27">IFERROR(INDEX(_xlfn.UNIQUE(TRIM(_xlfn.TEXTSPLIT(Table2511[[#This Row],[Selection Option]:[Selection Option]],";"))),,L$12),"")</f>
        <v>1. Extensive functionality available</v>
      </c>
      <c r="M27" s="41" t="str" cm="1">
        <f t="array" ref="M27">IFERROR(INDEX(_xlfn.UNIQUE(TRIM(_xlfn.TEXTSPLIT(Table2511[[#This Row],[Selection Option]:[Selection Option]],";"))),,M$12),"")</f>
        <v xml:space="preserve">
2. Limited functionality available</v>
      </c>
      <c r="N27" s="41" t="str" cm="1">
        <f t="array" ref="N27">IFERROR(INDEX(_xlfn.UNIQUE(TRIM(_xlfn.TEXTSPLIT(Table2511[[#This Row],[Selection Option]:[Selection Option]],";"))),,N$12),"")</f>
        <v xml:space="preserve">
3. Functionality not available</v>
      </c>
      <c r="O27" s="41" t="str" cm="1">
        <f t="array" ref="O27">IFERROR(INDEX(_xlfn.UNIQUE(TRIM(_xlfn.TEXTSPLIT(Table2511[[#This Row],[Selection Option]:[Selection Option]],";"))),,O$12),"")</f>
        <v/>
      </c>
      <c r="P27" s="41" t="str" cm="1">
        <f t="array" ref="P27">IFERROR(INDEX(_xlfn.UNIQUE(TRIM(_xlfn.TEXTSPLIT(Table2511[[#This Row],[Selection Option]:[Selection Option]],";"))),,P$12),"")</f>
        <v/>
      </c>
      <c r="Q27" s="41" t="str" cm="1">
        <f t="array" ref="Q27">IFERROR(INDEX(_xlfn.UNIQUE(TRIM(_xlfn.TEXTSPLIT(Table2511[[#This Row],[Selection Option]:[Selection Option]],";"))),,Q$12),"")</f>
        <v/>
      </c>
      <c r="R27" s="41" t="str" cm="1">
        <f t="array" ref="R27">IFERROR(INDEX(_xlfn.UNIQUE(TRIM(_xlfn.TEXTSPLIT(Table2511[[#This Row],[Selection Option]:[Selection Option]],";"))),,R$12),"")</f>
        <v/>
      </c>
      <c r="S27" s="41" t="str" cm="1">
        <f t="array" ref="S27">IFERROR(INDEX(_xlfn.UNIQUE(TRIM(_xlfn.TEXTSPLIT(Table2511[[#This Row],[Selection Option]:[Selection Option]],";"))),,S$12),"")</f>
        <v/>
      </c>
      <c r="T27" s="41" t="str" cm="1">
        <f t="array" ref="T27">IFERROR(INDEX(_xlfn.UNIQUE(TRIM(_xlfn.TEXTSPLIT(Table2511[[#This Row],[Selection Option]:[Selection Option]],";"))),,T$12),"")</f>
        <v/>
      </c>
      <c r="U27" s="41" t="str" cm="1">
        <f t="array" ref="U27">IFERROR(INDEX(_xlfn.UNIQUE(TRIM(_xlfn.TEXTSPLIT(Table2511[[#This Row],[Selection Option]:[Selection Option]],";"))),,U$12),"")</f>
        <v/>
      </c>
      <c r="V27" s="41" t="str" cm="1">
        <f t="array" ref="V27">IFERROR(INDEX(_xlfn.UNIQUE(TRIM(_xlfn.TEXTSPLIT(Table2511[[#This Row],[Selection Option]:[Selection Option]],";"))),,V$12),"")</f>
        <v/>
      </c>
      <c r="W27" s="30" cm="1">
        <f t="array" ref="W27">IF(Table2511[[#This Row],[1]]="","",Table2511[[#This Row],[Weight]:[Weight]]-(Table2511[[#This Row],[Weight]:[Weight]]*((_xlfn.XMATCH(Table2511[[#This Row],[1]],Table2511[[#This Row],[1]:[11]],0))-1)/(COUNTA(Table2511[[#This Row],[1]:[11]])-COUNTBLANK(Table2511[[#This Row],[1]:[11]])-1)))</f>
        <v>2.097902097902098E-2</v>
      </c>
      <c r="X27" s="30" cm="1">
        <f t="array" ref="X27">IF(Table2511[[#This Row],[2]]="","",Table2511[[#This Row],[Weight]:[Weight]]-(Table2511[[#This Row],[Weight]:[Weight]]*((_xlfn.XMATCH(Table2511[[#This Row],[2]],Table2511[[#This Row],[1]:[11]],0))-1)/(COUNTA(Table2511[[#This Row],[1]:[11]])-COUNTBLANK(Table2511[[#This Row],[1]:[11]])-1)))</f>
        <v>1.048951048951049E-2</v>
      </c>
      <c r="Y27" s="30" cm="1">
        <f t="array" ref="Y27">IF(Table2511[[#This Row],[3]]="","",Table2511[[#This Row],[Weight]:[Weight]]-(Table2511[[#This Row],[Weight]:[Weight]]*((_xlfn.XMATCH(Table2511[[#This Row],[3]],Table2511[[#This Row],[1]:[11]],0))-1)/(COUNTA(Table2511[[#This Row],[1]:[11]])-COUNTBLANK(Table2511[[#This Row],[1]:[11]])-1)))</f>
        <v>0</v>
      </c>
      <c r="Z27" s="30" t="str" cm="1">
        <f t="array" ref="Z27">IF(Table2511[[#This Row],[4]]="","",Table2511[[#This Row],[Weight]:[Weight]]-(Table2511[[#This Row],[Weight]:[Weight]]*((_xlfn.XMATCH(Table2511[[#This Row],[4]],Table2511[[#This Row],[1]:[11]],0))-1)/(COUNTA(Table2511[[#This Row],[1]:[11]])-COUNTBLANK(Table2511[[#This Row],[1]:[11]])-1)))</f>
        <v/>
      </c>
      <c r="AA27" s="30" t="str" cm="1">
        <f t="array" ref="AA27">IF(Table2511[[#This Row],[5]]="","",Table2511[[#This Row],[Weight]:[Weight]]-(Table2511[[#This Row],[Weight]:[Weight]]*((_xlfn.XMATCH(Table2511[[#This Row],[5]],Table2511[[#This Row],[1]:[11]],0))-1)/(COUNTA(Table2511[[#This Row],[1]:[11]])-COUNTBLANK(Table2511[[#This Row],[1]:[11]])-1)))</f>
        <v/>
      </c>
      <c r="AB27" s="30" t="str" cm="1">
        <f t="array" ref="AB27">IF(Table2511[[#This Row],[6]]="","",Table2511[[#This Row],[Weight]:[Weight]]-(Table2511[[#This Row],[Weight]:[Weight]]*((_xlfn.XMATCH(Table2511[[#This Row],[6]],Table2511[[#This Row],[1]:[11]],0))-1)/(COUNTA(Table2511[[#This Row],[1]:[11]])-COUNTBLANK(Table2511[[#This Row],[1]:[11]])-1)))</f>
        <v/>
      </c>
      <c r="AC27" s="30" t="str" cm="1">
        <f t="array" ref="AC27">IF(Table2511[[#This Row],[7]]="","",Table2511[[#This Row],[Weight]:[Weight]]-(Table2511[[#This Row],[Weight]:[Weight]]*((_xlfn.XMATCH(Table2511[[#This Row],[7]],Table2511[[#This Row],[1]:[11]],0))-1)/(COUNTA(Table2511[[#This Row],[1]:[11]])-COUNTBLANK(Table2511[[#This Row],[1]:[11]])-1)))</f>
        <v/>
      </c>
      <c r="AD27" s="30" t="str" cm="1">
        <f t="array" ref="AD27">IF(Table2511[[#This Row],[8]]="","",Table2511[[#This Row],[Weight]:[Weight]]-(Table2511[[#This Row],[Weight]:[Weight]]*((_xlfn.XMATCH(Table2511[[#This Row],[8]],Table2511[[#This Row],[1]:[11]],0))-1)/(COUNTA(Table2511[[#This Row],[1]:[11]])-COUNTBLANK(Table2511[[#This Row],[1]:[11]])-1)))</f>
        <v/>
      </c>
      <c r="AE27" s="41" t="str" cm="1">
        <f t="array" ref="AE27">IF(Table2511[[#This Row],[9]]="","",Table2511[[#This Row],[Weight]:[Weight]]-(Table2511[[#This Row],[Weight]:[Weight]]*((_xlfn.XMATCH(Table2511[[#This Row],[9]],Table2511[[#This Row],[1]:[11]],0))-1)/(COUNTA(Table2511[[#This Row],[1]:[11]])-COUNTBLANK(Table2511[[#This Row],[1]:[11]])-1)))</f>
        <v/>
      </c>
      <c r="AF27" s="41" t="str" cm="1">
        <f t="array" ref="AF27">IF(Table2511[[#This Row],[10]]="","",Table2511[[#This Row],[Weight]:[Weight]]-(Table2511[[#This Row],[Weight]:[Weight]]*((_xlfn.XMATCH(Table2511[[#This Row],[10]],Table2511[[#This Row],[1]:[11]],0))-1)/(COUNTA(Table2511[[#This Row],[1]:[11]])-COUNTBLANK(Table2511[[#This Row],[1]:[11]])-1)))</f>
        <v/>
      </c>
      <c r="AG27" s="41" t="str" cm="1">
        <f t="array" ref="AG27">IF(Table2511[[#This Row],[11]]="","",Table2511[[#This Row],[Weight]:[Weight]]-(Table2511[[#This Row],[Weight]:[Weight]]*((_xlfn.XMATCH(Table2511[[#This Row],[11]],Table2511[[#This Row],[1]:[11]],0))-1)/(COUNTA(Table2511[[#This Row],[1]:[11]])-COUNTBLANK(Table2511[[#This Row],[1]:[11]])-1)))</f>
        <v/>
      </c>
    </row>
    <row r="28" spans="1:33" ht="72" x14ac:dyDescent="0.2">
      <c r="A28" s="117" t="s">
        <v>159</v>
      </c>
      <c r="B28" s="21" t="s">
        <v>160</v>
      </c>
      <c r="C28" s="204" t="s">
        <v>161</v>
      </c>
      <c r="D28" s="22" t="s">
        <v>60</v>
      </c>
      <c r="E28" s="23" cm="1">
        <f t="array" ref="E28">_xlfn.IFS(D28="","",D28="No interest",0,D28="Nice to have",1,D28="Useful",2,D28="Important",3,D28="Very important",4,D28="Critical",5,D28="Show stopper",6)</f>
        <v>6</v>
      </c>
      <c r="F28" s="24">
        <f t="shared" si="0"/>
        <v>2.097902097902098E-2</v>
      </c>
      <c r="G28" s="25" t="s">
        <v>403</v>
      </c>
      <c r="H28" s="25" t="str" cm="1">
        <f t="array" ref="H28">_xlfn.TEXTJOIN(" "&amp;CHAR(10),,TEXT(SUBSTITUTE(Table2511[[#This Row],[12]:[22]],".",","),"0,00%"))</f>
        <v>0,020979020979021 
0,0104895104895105 
0,00%</v>
      </c>
      <c r="I28" s="26" t="s">
        <v>404</v>
      </c>
      <c r="J28" s="27">
        <f>F28-(F28*((MATCH(Table2511[[#This Row],[Evaluators Response (SELECT)]],Table2511[[#This Row],[1]:[11]],0)-1)/(COUNTA(Table2511[[#This Row],[1]:[11]])-COUNTBLANK(Table2511[[#This Row],[1]:[11]])-1)))</f>
        <v>0</v>
      </c>
      <c r="K28" s="28"/>
      <c r="L28" s="41" t="str" cm="1">
        <f t="array" ref="L28">IFERROR(INDEX(_xlfn.UNIQUE(TRIM(_xlfn.TEXTSPLIT(Table2511[[#This Row],[Selection Option]:[Selection Option]],";"))),,L$12),"")</f>
        <v>1. Extensive functionality available</v>
      </c>
      <c r="M28" s="41" t="str" cm="1">
        <f t="array" ref="M28">IFERROR(INDEX(_xlfn.UNIQUE(TRIM(_xlfn.TEXTSPLIT(Table2511[[#This Row],[Selection Option]:[Selection Option]],";"))),,M$12),"")</f>
        <v xml:space="preserve">
2. Limited functionality available</v>
      </c>
      <c r="N28" s="41" t="str" cm="1">
        <f t="array" ref="N28">IFERROR(INDEX(_xlfn.UNIQUE(TRIM(_xlfn.TEXTSPLIT(Table2511[[#This Row],[Selection Option]:[Selection Option]],";"))),,N$12),"")</f>
        <v xml:space="preserve">
3. Functionality not available</v>
      </c>
      <c r="O28" s="41" t="str" cm="1">
        <f t="array" ref="O28">IFERROR(INDEX(_xlfn.UNIQUE(TRIM(_xlfn.TEXTSPLIT(Table2511[[#This Row],[Selection Option]:[Selection Option]],";"))),,O$12),"")</f>
        <v/>
      </c>
      <c r="P28" s="41" t="str" cm="1">
        <f t="array" ref="P28">IFERROR(INDEX(_xlfn.UNIQUE(TRIM(_xlfn.TEXTSPLIT(Table2511[[#This Row],[Selection Option]:[Selection Option]],";"))),,P$12),"")</f>
        <v/>
      </c>
      <c r="Q28" s="41" t="str" cm="1">
        <f t="array" ref="Q28">IFERROR(INDEX(_xlfn.UNIQUE(TRIM(_xlfn.TEXTSPLIT(Table2511[[#This Row],[Selection Option]:[Selection Option]],";"))),,Q$12),"")</f>
        <v/>
      </c>
      <c r="R28" s="41" t="str" cm="1">
        <f t="array" ref="R28">IFERROR(INDEX(_xlfn.UNIQUE(TRIM(_xlfn.TEXTSPLIT(Table2511[[#This Row],[Selection Option]:[Selection Option]],";"))),,R$12),"")</f>
        <v/>
      </c>
      <c r="S28" s="41" t="str" cm="1">
        <f t="array" ref="S28">IFERROR(INDEX(_xlfn.UNIQUE(TRIM(_xlfn.TEXTSPLIT(Table2511[[#This Row],[Selection Option]:[Selection Option]],";"))),,S$12),"")</f>
        <v/>
      </c>
      <c r="T28" s="41" t="str" cm="1">
        <f t="array" ref="T28">IFERROR(INDEX(_xlfn.UNIQUE(TRIM(_xlfn.TEXTSPLIT(Table2511[[#This Row],[Selection Option]:[Selection Option]],";"))),,T$12),"")</f>
        <v/>
      </c>
      <c r="U28" s="41" t="str" cm="1">
        <f t="array" ref="U28">IFERROR(INDEX(_xlfn.UNIQUE(TRIM(_xlfn.TEXTSPLIT(Table2511[[#This Row],[Selection Option]:[Selection Option]],";"))),,U$12),"")</f>
        <v/>
      </c>
      <c r="V28" s="41" t="str" cm="1">
        <f t="array" ref="V28">IFERROR(INDEX(_xlfn.UNIQUE(TRIM(_xlfn.TEXTSPLIT(Table2511[[#This Row],[Selection Option]:[Selection Option]],";"))),,V$12),"")</f>
        <v/>
      </c>
      <c r="W28" s="30" cm="1">
        <f t="array" ref="W28">IF(Table2511[[#This Row],[1]]="","",Table2511[[#This Row],[Weight]:[Weight]]-(Table2511[[#This Row],[Weight]:[Weight]]*((_xlfn.XMATCH(Table2511[[#This Row],[1]],Table2511[[#This Row],[1]:[11]],0))-1)/(COUNTA(Table2511[[#This Row],[1]:[11]])-COUNTBLANK(Table2511[[#This Row],[1]:[11]])-1)))</f>
        <v>2.097902097902098E-2</v>
      </c>
      <c r="X28" s="30" cm="1">
        <f t="array" ref="X28">IF(Table2511[[#This Row],[2]]="","",Table2511[[#This Row],[Weight]:[Weight]]-(Table2511[[#This Row],[Weight]:[Weight]]*((_xlfn.XMATCH(Table2511[[#This Row],[2]],Table2511[[#This Row],[1]:[11]],0))-1)/(COUNTA(Table2511[[#This Row],[1]:[11]])-COUNTBLANK(Table2511[[#This Row],[1]:[11]])-1)))</f>
        <v>1.048951048951049E-2</v>
      </c>
      <c r="Y28" s="30" cm="1">
        <f t="array" ref="Y28">IF(Table2511[[#This Row],[3]]="","",Table2511[[#This Row],[Weight]:[Weight]]-(Table2511[[#This Row],[Weight]:[Weight]]*((_xlfn.XMATCH(Table2511[[#This Row],[3]],Table2511[[#This Row],[1]:[11]],0))-1)/(COUNTA(Table2511[[#This Row],[1]:[11]])-COUNTBLANK(Table2511[[#This Row],[1]:[11]])-1)))</f>
        <v>0</v>
      </c>
      <c r="Z28" s="30" t="str" cm="1">
        <f t="array" ref="Z28">IF(Table2511[[#This Row],[4]]="","",Table2511[[#This Row],[Weight]:[Weight]]-(Table2511[[#This Row],[Weight]:[Weight]]*((_xlfn.XMATCH(Table2511[[#This Row],[4]],Table2511[[#This Row],[1]:[11]],0))-1)/(COUNTA(Table2511[[#This Row],[1]:[11]])-COUNTBLANK(Table2511[[#This Row],[1]:[11]])-1)))</f>
        <v/>
      </c>
      <c r="AA28" s="30" t="str" cm="1">
        <f t="array" ref="AA28">IF(Table2511[[#This Row],[5]]="","",Table2511[[#This Row],[Weight]:[Weight]]-(Table2511[[#This Row],[Weight]:[Weight]]*((_xlfn.XMATCH(Table2511[[#This Row],[5]],Table2511[[#This Row],[1]:[11]],0))-1)/(COUNTA(Table2511[[#This Row],[1]:[11]])-COUNTBLANK(Table2511[[#This Row],[1]:[11]])-1)))</f>
        <v/>
      </c>
      <c r="AB28" s="30" t="str" cm="1">
        <f t="array" ref="AB28">IF(Table2511[[#This Row],[6]]="","",Table2511[[#This Row],[Weight]:[Weight]]-(Table2511[[#This Row],[Weight]:[Weight]]*((_xlfn.XMATCH(Table2511[[#This Row],[6]],Table2511[[#This Row],[1]:[11]],0))-1)/(COUNTA(Table2511[[#This Row],[1]:[11]])-COUNTBLANK(Table2511[[#This Row],[1]:[11]])-1)))</f>
        <v/>
      </c>
      <c r="AC28" s="30" t="str" cm="1">
        <f t="array" ref="AC28">IF(Table2511[[#This Row],[7]]="","",Table2511[[#This Row],[Weight]:[Weight]]-(Table2511[[#This Row],[Weight]:[Weight]]*((_xlfn.XMATCH(Table2511[[#This Row],[7]],Table2511[[#This Row],[1]:[11]],0))-1)/(COUNTA(Table2511[[#This Row],[1]:[11]])-COUNTBLANK(Table2511[[#This Row],[1]:[11]])-1)))</f>
        <v/>
      </c>
      <c r="AD28" s="30" t="str" cm="1">
        <f t="array" ref="AD28">IF(Table2511[[#This Row],[8]]="","",Table2511[[#This Row],[Weight]:[Weight]]-(Table2511[[#This Row],[Weight]:[Weight]]*((_xlfn.XMATCH(Table2511[[#This Row],[8]],Table2511[[#This Row],[1]:[11]],0))-1)/(COUNTA(Table2511[[#This Row],[1]:[11]])-COUNTBLANK(Table2511[[#This Row],[1]:[11]])-1)))</f>
        <v/>
      </c>
      <c r="AE28" s="41" t="str" cm="1">
        <f t="array" ref="AE28">IF(Table2511[[#This Row],[9]]="","",Table2511[[#This Row],[Weight]:[Weight]]-(Table2511[[#This Row],[Weight]:[Weight]]*((_xlfn.XMATCH(Table2511[[#This Row],[9]],Table2511[[#This Row],[1]:[11]],0))-1)/(COUNTA(Table2511[[#This Row],[1]:[11]])-COUNTBLANK(Table2511[[#This Row],[1]:[11]])-1)))</f>
        <v/>
      </c>
      <c r="AF28" s="41" t="str" cm="1">
        <f t="array" ref="AF28">IF(Table2511[[#This Row],[10]]="","",Table2511[[#This Row],[Weight]:[Weight]]-(Table2511[[#This Row],[Weight]:[Weight]]*((_xlfn.XMATCH(Table2511[[#This Row],[10]],Table2511[[#This Row],[1]:[11]],0))-1)/(COUNTA(Table2511[[#This Row],[1]:[11]])-COUNTBLANK(Table2511[[#This Row],[1]:[11]])-1)))</f>
        <v/>
      </c>
      <c r="AG28" s="41" t="str" cm="1">
        <f t="array" ref="AG28">IF(Table2511[[#This Row],[11]]="","",Table2511[[#This Row],[Weight]:[Weight]]-(Table2511[[#This Row],[Weight]:[Weight]]*((_xlfn.XMATCH(Table2511[[#This Row],[11]],Table2511[[#This Row],[1]:[11]],0))-1)/(COUNTA(Table2511[[#This Row],[1]:[11]])-COUNTBLANK(Table2511[[#This Row],[1]:[11]])-1)))</f>
        <v/>
      </c>
    </row>
    <row r="29" spans="1:33" ht="72" x14ac:dyDescent="0.2">
      <c r="A29" s="117" t="s">
        <v>162</v>
      </c>
      <c r="B29" s="21" t="s">
        <v>163</v>
      </c>
      <c r="C29" s="204" t="s">
        <v>164</v>
      </c>
      <c r="D29" s="22" t="s">
        <v>60</v>
      </c>
      <c r="E29" s="23" cm="1">
        <f t="array" ref="E29">_xlfn.IFS(D29="","",D29="No interest",0,D29="Nice to have",1,D29="Useful",2,D29="Important",3,D29="Very important",4,D29="Critical",5,D29="Show stopper",6)</f>
        <v>6</v>
      </c>
      <c r="F29" s="24">
        <f t="shared" si="0"/>
        <v>2.097902097902098E-2</v>
      </c>
      <c r="G29" s="25" t="s">
        <v>403</v>
      </c>
      <c r="H29" s="25" t="str" cm="1">
        <f t="array" ref="H29">_xlfn.TEXTJOIN(" "&amp;CHAR(10),,TEXT(SUBSTITUTE(Table2511[[#This Row],[12]:[22]],".",","),"0,00%"))</f>
        <v>0,020979020979021 
0,0104895104895105 
0,00%</v>
      </c>
      <c r="I29" s="26" t="s">
        <v>404</v>
      </c>
      <c r="J29" s="27">
        <f>F29-(F29*((MATCH(Table2511[[#This Row],[Evaluators Response (SELECT)]],Table2511[[#This Row],[1]:[11]],0)-1)/(COUNTA(Table2511[[#This Row],[1]:[11]])-COUNTBLANK(Table2511[[#This Row],[1]:[11]])-1)))</f>
        <v>0</v>
      </c>
      <c r="K29" s="28"/>
      <c r="L29" s="41" t="str" cm="1">
        <f t="array" ref="L29">IFERROR(INDEX(_xlfn.UNIQUE(TRIM(_xlfn.TEXTSPLIT(Table2511[[#This Row],[Selection Option]:[Selection Option]],";"))),,L$12),"")</f>
        <v>1. Extensive functionality available</v>
      </c>
      <c r="M29" s="41" t="str" cm="1">
        <f t="array" ref="M29">IFERROR(INDEX(_xlfn.UNIQUE(TRIM(_xlfn.TEXTSPLIT(Table2511[[#This Row],[Selection Option]:[Selection Option]],";"))),,M$12),"")</f>
        <v xml:space="preserve">
2. Limited functionality available</v>
      </c>
      <c r="N29" s="41" t="str" cm="1">
        <f t="array" ref="N29">IFERROR(INDEX(_xlfn.UNIQUE(TRIM(_xlfn.TEXTSPLIT(Table2511[[#This Row],[Selection Option]:[Selection Option]],";"))),,N$12),"")</f>
        <v xml:space="preserve">
3. Functionality not available</v>
      </c>
      <c r="O29" s="41" t="str" cm="1">
        <f t="array" ref="O29">IFERROR(INDEX(_xlfn.UNIQUE(TRIM(_xlfn.TEXTSPLIT(Table2511[[#This Row],[Selection Option]:[Selection Option]],";"))),,O$12),"")</f>
        <v/>
      </c>
      <c r="P29" s="41" t="str" cm="1">
        <f t="array" ref="P29">IFERROR(INDEX(_xlfn.UNIQUE(TRIM(_xlfn.TEXTSPLIT(Table2511[[#This Row],[Selection Option]:[Selection Option]],";"))),,P$12),"")</f>
        <v/>
      </c>
      <c r="Q29" s="41" t="str" cm="1">
        <f t="array" ref="Q29">IFERROR(INDEX(_xlfn.UNIQUE(TRIM(_xlfn.TEXTSPLIT(Table2511[[#This Row],[Selection Option]:[Selection Option]],";"))),,Q$12),"")</f>
        <v/>
      </c>
      <c r="R29" s="41" t="str" cm="1">
        <f t="array" ref="R29">IFERROR(INDEX(_xlfn.UNIQUE(TRIM(_xlfn.TEXTSPLIT(Table2511[[#This Row],[Selection Option]:[Selection Option]],";"))),,R$12),"")</f>
        <v/>
      </c>
      <c r="S29" s="41" t="str" cm="1">
        <f t="array" ref="S29">IFERROR(INDEX(_xlfn.UNIQUE(TRIM(_xlfn.TEXTSPLIT(Table2511[[#This Row],[Selection Option]:[Selection Option]],";"))),,S$12),"")</f>
        <v/>
      </c>
      <c r="T29" s="41" t="str" cm="1">
        <f t="array" ref="T29">IFERROR(INDEX(_xlfn.UNIQUE(TRIM(_xlfn.TEXTSPLIT(Table2511[[#This Row],[Selection Option]:[Selection Option]],";"))),,T$12),"")</f>
        <v/>
      </c>
      <c r="U29" s="41" t="str" cm="1">
        <f t="array" ref="U29">IFERROR(INDEX(_xlfn.UNIQUE(TRIM(_xlfn.TEXTSPLIT(Table2511[[#This Row],[Selection Option]:[Selection Option]],";"))),,U$12),"")</f>
        <v/>
      </c>
      <c r="V29" s="41" t="str" cm="1">
        <f t="array" ref="V29">IFERROR(INDEX(_xlfn.UNIQUE(TRIM(_xlfn.TEXTSPLIT(Table2511[[#This Row],[Selection Option]:[Selection Option]],";"))),,V$12),"")</f>
        <v/>
      </c>
      <c r="W29" s="30" cm="1">
        <f t="array" ref="W29">IF(Table2511[[#This Row],[1]]="","",Table2511[[#This Row],[Weight]:[Weight]]-(Table2511[[#This Row],[Weight]:[Weight]]*((_xlfn.XMATCH(Table2511[[#This Row],[1]],Table2511[[#This Row],[1]:[11]],0))-1)/(COUNTA(Table2511[[#This Row],[1]:[11]])-COUNTBLANK(Table2511[[#This Row],[1]:[11]])-1)))</f>
        <v>2.097902097902098E-2</v>
      </c>
      <c r="X29" s="30" cm="1">
        <f t="array" ref="X29">IF(Table2511[[#This Row],[2]]="","",Table2511[[#This Row],[Weight]:[Weight]]-(Table2511[[#This Row],[Weight]:[Weight]]*((_xlfn.XMATCH(Table2511[[#This Row],[2]],Table2511[[#This Row],[1]:[11]],0))-1)/(COUNTA(Table2511[[#This Row],[1]:[11]])-COUNTBLANK(Table2511[[#This Row],[1]:[11]])-1)))</f>
        <v>1.048951048951049E-2</v>
      </c>
      <c r="Y29" s="30" cm="1">
        <f t="array" ref="Y29">IF(Table2511[[#This Row],[3]]="","",Table2511[[#This Row],[Weight]:[Weight]]-(Table2511[[#This Row],[Weight]:[Weight]]*((_xlfn.XMATCH(Table2511[[#This Row],[3]],Table2511[[#This Row],[1]:[11]],0))-1)/(COUNTA(Table2511[[#This Row],[1]:[11]])-COUNTBLANK(Table2511[[#This Row],[1]:[11]])-1)))</f>
        <v>0</v>
      </c>
      <c r="Z29" s="30" t="str" cm="1">
        <f t="array" ref="Z29">IF(Table2511[[#This Row],[4]]="","",Table2511[[#This Row],[Weight]:[Weight]]-(Table2511[[#This Row],[Weight]:[Weight]]*((_xlfn.XMATCH(Table2511[[#This Row],[4]],Table2511[[#This Row],[1]:[11]],0))-1)/(COUNTA(Table2511[[#This Row],[1]:[11]])-COUNTBLANK(Table2511[[#This Row],[1]:[11]])-1)))</f>
        <v/>
      </c>
      <c r="AA29" s="30" t="str" cm="1">
        <f t="array" ref="AA29">IF(Table2511[[#This Row],[5]]="","",Table2511[[#This Row],[Weight]:[Weight]]-(Table2511[[#This Row],[Weight]:[Weight]]*((_xlfn.XMATCH(Table2511[[#This Row],[5]],Table2511[[#This Row],[1]:[11]],0))-1)/(COUNTA(Table2511[[#This Row],[1]:[11]])-COUNTBLANK(Table2511[[#This Row],[1]:[11]])-1)))</f>
        <v/>
      </c>
      <c r="AB29" s="30" t="str" cm="1">
        <f t="array" ref="AB29">IF(Table2511[[#This Row],[6]]="","",Table2511[[#This Row],[Weight]:[Weight]]-(Table2511[[#This Row],[Weight]:[Weight]]*((_xlfn.XMATCH(Table2511[[#This Row],[6]],Table2511[[#This Row],[1]:[11]],0))-1)/(COUNTA(Table2511[[#This Row],[1]:[11]])-COUNTBLANK(Table2511[[#This Row],[1]:[11]])-1)))</f>
        <v/>
      </c>
      <c r="AC29" s="30" t="str" cm="1">
        <f t="array" ref="AC29">IF(Table2511[[#This Row],[7]]="","",Table2511[[#This Row],[Weight]:[Weight]]-(Table2511[[#This Row],[Weight]:[Weight]]*((_xlfn.XMATCH(Table2511[[#This Row],[7]],Table2511[[#This Row],[1]:[11]],0))-1)/(COUNTA(Table2511[[#This Row],[1]:[11]])-COUNTBLANK(Table2511[[#This Row],[1]:[11]])-1)))</f>
        <v/>
      </c>
      <c r="AD29" s="30" t="str" cm="1">
        <f t="array" ref="AD29">IF(Table2511[[#This Row],[8]]="","",Table2511[[#This Row],[Weight]:[Weight]]-(Table2511[[#This Row],[Weight]:[Weight]]*((_xlfn.XMATCH(Table2511[[#This Row],[8]],Table2511[[#This Row],[1]:[11]],0))-1)/(COUNTA(Table2511[[#This Row],[1]:[11]])-COUNTBLANK(Table2511[[#This Row],[1]:[11]])-1)))</f>
        <v/>
      </c>
      <c r="AE29" s="41" t="str" cm="1">
        <f t="array" ref="AE29">IF(Table2511[[#This Row],[9]]="","",Table2511[[#This Row],[Weight]:[Weight]]-(Table2511[[#This Row],[Weight]:[Weight]]*((_xlfn.XMATCH(Table2511[[#This Row],[9]],Table2511[[#This Row],[1]:[11]],0))-1)/(COUNTA(Table2511[[#This Row],[1]:[11]])-COUNTBLANK(Table2511[[#This Row],[1]:[11]])-1)))</f>
        <v/>
      </c>
      <c r="AF29" s="41" t="str" cm="1">
        <f t="array" ref="AF29">IF(Table2511[[#This Row],[10]]="","",Table2511[[#This Row],[Weight]:[Weight]]-(Table2511[[#This Row],[Weight]:[Weight]]*((_xlfn.XMATCH(Table2511[[#This Row],[10]],Table2511[[#This Row],[1]:[11]],0))-1)/(COUNTA(Table2511[[#This Row],[1]:[11]])-COUNTBLANK(Table2511[[#This Row],[1]:[11]])-1)))</f>
        <v/>
      </c>
      <c r="AG29" s="41" t="str" cm="1">
        <f t="array" ref="AG29">IF(Table2511[[#This Row],[11]]="","",Table2511[[#This Row],[Weight]:[Weight]]-(Table2511[[#This Row],[Weight]:[Weight]]*((_xlfn.XMATCH(Table2511[[#This Row],[11]],Table2511[[#This Row],[1]:[11]],0))-1)/(COUNTA(Table2511[[#This Row],[1]:[11]])-COUNTBLANK(Table2511[[#This Row],[1]:[11]])-1)))</f>
        <v/>
      </c>
    </row>
    <row r="30" spans="1:33" ht="72" x14ac:dyDescent="0.2">
      <c r="A30" s="117" t="s">
        <v>165</v>
      </c>
      <c r="B30" s="21" t="s">
        <v>166</v>
      </c>
      <c r="C30" s="204" t="s">
        <v>167</v>
      </c>
      <c r="D30" s="22" t="s">
        <v>60</v>
      </c>
      <c r="E30" s="23" cm="1">
        <f t="array" ref="E30">_xlfn.IFS(D30="","",D30="No interest",0,D30="Nice to have",1,D30="Useful",2,D30="Important",3,D30="Very important",4,D30="Critical",5,D30="Show stopper",6)</f>
        <v>6</v>
      </c>
      <c r="F30" s="24">
        <f t="shared" si="0"/>
        <v>2.097902097902098E-2</v>
      </c>
      <c r="G30" s="25" t="s">
        <v>403</v>
      </c>
      <c r="H30" s="25" t="str" cm="1">
        <f t="array" ref="H30">_xlfn.TEXTJOIN(" "&amp;CHAR(10),,TEXT(SUBSTITUTE(Table2511[[#This Row],[12]:[22]],".",","),"0,00%"))</f>
        <v>0,020979020979021 
0,0104895104895105 
0,00%</v>
      </c>
      <c r="I30" s="26" t="s">
        <v>404</v>
      </c>
      <c r="J30" s="27">
        <f>F30-(F30*((MATCH(Table2511[[#This Row],[Evaluators Response (SELECT)]],Table2511[[#This Row],[1]:[11]],0)-1)/(COUNTA(Table2511[[#This Row],[1]:[11]])-COUNTBLANK(Table2511[[#This Row],[1]:[11]])-1)))</f>
        <v>0</v>
      </c>
      <c r="K30" s="28"/>
      <c r="L30" s="41" t="str" cm="1">
        <f t="array" ref="L30">IFERROR(INDEX(_xlfn.UNIQUE(TRIM(_xlfn.TEXTSPLIT(Table2511[[#This Row],[Selection Option]:[Selection Option]],";"))),,L$12),"")</f>
        <v>1. Extensive functionality available</v>
      </c>
      <c r="M30" s="41" t="str" cm="1">
        <f t="array" ref="M30">IFERROR(INDEX(_xlfn.UNIQUE(TRIM(_xlfn.TEXTSPLIT(Table2511[[#This Row],[Selection Option]:[Selection Option]],";"))),,M$12),"")</f>
        <v xml:space="preserve">
2. Limited functionality available</v>
      </c>
      <c r="N30" s="41" t="str" cm="1">
        <f t="array" ref="N30">IFERROR(INDEX(_xlfn.UNIQUE(TRIM(_xlfn.TEXTSPLIT(Table2511[[#This Row],[Selection Option]:[Selection Option]],";"))),,N$12),"")</f>
        <v xml:space="preserve">
3. Functionality not available</v>
      </c>
      <c r="O30" s="41" t="str" cm="1">
        <f t="array" ref="O30">IFERROR(INDEX(_xlfn.UNIQUE(TRIM(_xlfn.TEXTSPLIT(Table2511[[#This Row],[Selection Option]:[Selection Option]],";"))),,O$12),"")</f>
        <v/>
      </c>
      <c r="P30" s="41" t="str" cm="1">
        <f t="array" ref="P30">IFERROR(INDEX(_xlfn.UNIQUE(TRIM(_xlfn.TEXTSPLIT(Table2511[[#This Row],[Selection Option]:[Selection Option]],";"))),,P$12),"")</f>
        <v/>
      </c>
      <c r="Q30" s="41" t="str" cm="1">
        <f t="array" ref="Q30">IFERROR(INDEX(_xlfn.UNIQUE(TRIM(_xlfn.TEXTSPLIT(Table2511[[#This Row],[Selection Option]:[Selection Option]],";"))),,Q$12),"")</f>
        <v/>
      </c>
      <c r="R30" s="41" t="str" cm="1">
        <f t="array" ref="R30">IFERROR(INDEX(_xlfn.UNIQUE(TRIM(_xlfn.TEXTSPLIT(Table2511[[#This Row],[Selection Option]:[Selection Option]],";"))),,R$12),"")</f>
        <v/>
      </c>
      <c r="S30" s="41" t="str" cm="1">
        <f t="array" ref="S30">IFERROR(INDEX(_xlfn.UNIQUE(TRIM(_xlfn.TEXTSPLIT(Table2511[[#This Row],[Selection Option]:[Selection Option]],";"))),,S$12),"")</f>
        <v/>
      </c>
      <c r="T30" s="41" t="str" cm="1">
        <f t="array" ref="T30">IFERROR(INDEX(_xlfn.UNIQUE(TRIM(_xlfn.TEXTSPLIT(Table2511[[#This Row],[Selection Option]:[Selection Option]],";"))),,T$12),"")</f>
        <v/>
      </c>
      <c r="U30" s="41" t="str" cm="1">
        <f t="array" ref="U30">IFERROR(INDEX(_xlfn.UNIQUE(TRIM(_xlfn.TEXTSPLIT(Table2511[[#This Row],[Selection Option]:[Selection Option]],";"))),,U$12),"")</f>
        <v/>
      </c>
      <c r="V30" s="41" t="str" cm="1">
        <f t="array" ref="V30">IFERROR(INDEX(_xlfn.UNIQUE(TRIM(_xlfn.TEXTSPLIT(Table2511[[#This Row],[Selection Option]:[Selection Option]],";"))),,V$12),"")</f>
        <v/>
      </c>
      <c r="W30" s="30" cm="1">
        <f t="array" ref="W30">IF(Table2511[[#This Row],[1]]="","",Table2511[[#This Row],[Weight]:[Weight]]-(Table2511[[#This Row],[Weight]:[Weight]]*((_xlfn.XMATCH(Table2511[[#This Row],[1]],Table2511[[#This Row],[1]:[11]],0))-1)/(COUNTA(Table2511[[#This Row],[1]:[11]])-COUNTBLANK(Table2511[[#This Row],[1]:[11]])-1)))</f>
        <v>2.097902097902098E-2</v>
      </c>
      <c r="X30" s="30" cm="1">
        <f t="array" ref="X30">IF(Table2511[[#This Row],[2]]="","",Table2511[[#This Row],[Weight]:[Weight]]-(Table2511[[#This Row],[Weight]:[Weight]]*((_xlfn.XMATCH(Table2511[[#This Row],[2]],Table2511[[#This Row],[1]:[11]],0))-1)/(COUNTA(Table2511[[#This Row],[1]:[11]])-COUNTBLANK(Table2511[[#This Row],[1]:[11]])-1)))</f>
        <v>1.048951048951049E-2</v>
      </c>
      <c r="Y30" s="30" cm="1">
        <f t="array" ref="Y30">IF(Table2511[[#This Row],[3]]="","",Table2511[[#This Row],[Weight]:[Weight]]-(Table2511[[#This Row],[Weight]:[Weight]]*((_xlfn.XMATCH(Table2511[[#This Row],[3]],Table2511[[#This Row],[1]:[11]],0))-1)/(COUNTA(Table2511[[#This Row],[1]:[11]])-COUNTBLANK(Table2511[[#This Row],[1]:[11]])-1)))</f>
        <v>0</v>
      </c>
      <c r="Z30" s="30" t="str" cm="1">
        <f t="array" ref="Z30">IF(Table2511[[#This Row],[4]]="","",Table2511[[#This Row],[Weight]:[Weight]]-(Table2511[[#This Row],[Weight]:[Weight]]*((_xlfn.XMATCH(Table2511[[#This Row],[4]],Table2511[[#This Row],[1]:[11]],0))-1)/(COUNTA(Table2511[[#This Row],[1]:[11]])-COUNTBLANK(Table2511[[#This Row],[1]:[11]])-1)))</f>
        <v/>
      </c>
      <c r="AA30" s="30" t="str" cm="1">
        <f t="array" ref="AA30">IF(Table2511[[#This Row],[5]]="","",Table2511[[#This Row],[Weight]:[Weight]]-(Table2511[[#This Row],[Weight]:[Weight]]*((_xlfn.XMATCH(Table2511[[#This Row],[5]],Table2511[[#This Row],[1]:[11]],0))-1)/(COUNTA(Table2511[[#This Row],[1]:[11]])-COUNTBLANK(Table2511[[#This Row],[1]:[11]])-1)))</f>
        <v/>
      </c>
      <c r="AB30" s="30" t="str" cm="1">
        <f t="array" ref="AB30">IF(Table2511[[#This Row],[6]]="","",Table2511[[#This Row],[Weight]:[Weight]]-(Table2511[[#This Row],[Weight]:[Weight]]*((_xlfn.XMATCH(Table2511[[#This Row],[6]],Table2511[[#This Row],[1]:[11]],0))-1)/(COUNTA(Table2511[[#This Row],[1]:[11]])-COUNTBLANK(Table2511[[#This Row],[1]:[11]])-1)))</f>
        <v/>
      </c>
      <c r="AC30" s="30" t="str" cm="1">
        <f t="array" ref="AC30">IF(Table2511[[#This Row],[7]]="","",Table2511[[#This Row],[Weight]:[Weight]]-(Table2511[[#This Row],[Weight]:[Weight]]*((_xlfn.XMATCH(Table2511[[#This Row],[7]],Table2511[[#This Row],[1]:[11]],0))-1)/(COUNTA(Table2511[[#This Row],[1]:[11]])-COUNTBLANK(Table2511[[#This Row],[1]:[11]])-1)))</f>
        <v/>
      </c>
      <c r="AD30" s="30" t="str" cm="1">
        <f t="array" ref="AD30">IF(Table2511[[#This Row],[8]]="","",Table2511[[#This Row],[Weight]:[Weight]]-(Table2511[[#This Row],[Weight]:[Weight]]*((_xlfn.XMATCH(Table2511[[#This Row],[8]],Table2511[[#This Row],[1]:[11]],0))-1)/(COUNTA(Table2511[[#This Row],[1]:[11]])-COUNTBLANK(Table2511[[#This Row],[1]:[11]])-1)))</f>
        <v/>
      </c>
      <c r="AE30" s="41" t="str" cm="1">
        <f t="array" ref="AE30">IF(Table2511[[#This Row],[9]]="","",Table2511[[#This Row],[Weight]:[Weight]]-(Table2511[[#This Row],[Weight]:[Weight]]*((_xlfn.XMATCH(Table2511[[#This Row],[9]],Table2511[[#This Row],[1]:[11]],0))-1)/(COUNTA(Table2511[[#This Row],[1]:[11]])-COUNTBLANK(Table2511[[#This Row],[1]:[11]])-1)))</f>
        <v/>
      </c>
      <c r="AF30" s="41" t="str" cm="1">
        <f t="array" ref="AF30">IF(Table2511[[#This Row],[10]]="","",Table2511[[#This Row],[Weight]:[Weight]]-(Table2511[[#This Row],[Weight]:[Weight]]*((_xlfn.XMATCH(Table2511[[#This Row],[10]],Table2511[[#This Row],[1]:[11]],0))-1)/(COUNTA(Table2511[[#This Row],[1]:[11]])-COUNTBLANK(Table2511[[#This Row],[1]:[11]])-1)))</f>
        <v/>
      </c>
      <c r="AG30" s="41" t="str" cm="1">
        <f t="array" ref="AG30">IF(Table2511[[#This Row],[11]]="","",Table2511[[#This Row],[Weight]:[Weight]]-(Table2511[[#This Row],[Weight]:[Weight]]*((_xlfn.XMATCH(Table2511[[#This Row],[11]],Table2511[[#This Row],[1]:[11]],0))-1)/(COUNTA(Table2511[[#This Row],[1]:[11]])-COUNTBLANK(Table2511[[#This Row],[1]:[11]])-1)))</f>
        <v/>
      </c>
    </row>
    <row r="31" spans="1:33" ht="72" x14ac:dyDescent="0.2">
      <c r="A31" s="117" t="s">
        <v>168</v>
      </c>
      <c r="B31" s="21" t="s">
        <v>169</v>
      </c>
      <c r="C31" s="204" t="s">
        <v>170</v>
      </c>
      <c r="D31" s="22" t="s">
        <v>60</v>
      </c>
      <c r="E31" s="23" cm="1">
        <f t="array" ref="E31">_xlfn.IFS(D31="","",D31="No interest",0,D31="Nice to have",1,D31="Useful",2,D31="Important",3,D31="Very important",4,D31="Critical",5,D31="Show stopper",6)</f>
        <v>6</v>
      </c>
      <c r="F31" s="24">
        <f t="shared" si="0"/>
        <v>2.097902097902098E-2</v>
      </c>
      <c r="G31" s="25" t="s">
        <v>403</v>
      </c>
      <c r="H31" s="25" t="str" cm="1">
        <f t="array" ref="H31">_xlfn.TEXTJOIN(" "&amp;CHAR(10),,TEXT(SUBSTITUTE(Table2511[[#This Row],[12]:[22]],".",","),"0,00%"))</f>
        <v>0,020979020979021 
0,0104895104895105 
0,00%</v>
      </c>
      <c r="I31" s="26" t="s">
        <v>404</v>
      </c>
      <c r="J31" s="27">
        <f>F31-(F31*((MATCH(Table2511[[#This Row],[Evaluators Response (SELECT)]],Table2511[[#This Row],[1]:[11]],0)-1)/(COUNTA(Table2511[[#This Row],[1]:[11]])-COUNTBLANK(Table2511[[#This Row],[1]:[11]])-1)))</f>
        <v>0</v>
      </c>
      <c r="K31" s="28"/>
      <c r="L31" s="41" t="str" cm="1">
        <f t="array" ref="L31">IFERROR(INDEX(_xlfn.UNIQUE(TRIM(_xlfn.TEXTSPLIT(Table2511[[#This Row],[Selection Option]:[Selection Option]],";"))),,L$12),"")</f>
        <v>1. Extensive functionality available</v>
      </c>
      <c r="M31" s="41" t="str" cm="1">
        <f t="array" ref="M31">IFERROR(INDEX(_xlfn.UNIQUE(TRIM(_xlfn.TEXTSPLIT(Table2511[[#This Row],[Selection Option]:[Selection Option]],";"))),,M$12),"")</f>
        <v xml:space="preserve">
2. Limited functionality available</v>
      </c>
      <c r="N31" s="41" t="str" cm="1">
        <f t="array" ref="N31">IFERROR(INDEX(_xlfn.UNIQUE(TRIM(_xlfn.TEXTSPLIT(Table2511[[#This Row],[Selection Option]:[Selection Option]],";"))),,N$12),"")</f>
        <v xml:space="preserve">
3. Functionality not available</v>
      </c>
      <c r="O31" s="41" t="str" cm="1">
        <f t="array" ref="O31">IFERROR(INDEX(_xlfn.UNIQUE(TRIM(_xlfn.TEXTSPLIT(Table2511[[#This Row],[Selection Option]:[Selection Option]],";"))),,O$12),"")</f>
        <v/>
      </c>
      <c r="P31" s="41" t="str" cm="1">
        <f t="array" ref="P31">IFERROR(INDEX(_xlfn.UNIQUE(TRIM(_xlfn.TEXTSPLIT(Table2511[[#This Row],[Selection Option]:[Selection Option]],";"))),,P$12),"")</f>
        <v/>
      </c>
      <c r="Q31" s="41" t="str" cm="1">
        <f t="array" ref="Q31">IFERROR(INDEX(_xlfn.UNIQUE(TRIM(_xlfn.TEXTSPLIT(Table2511[[#This Row],[Selection Option]:[Selection Option]],";"))),,Q$12),"")</f>
        <v/>
      </c>
      <c r="R31" s="41" t="str" cm="1">
        <f t="array" ref="R31">IFERROR(INDEX(_xlfn.UNIQUE(TRIM(_xlfn.TEXTSPLIT(Table2511[[#This Row],[Selection Option]:[Selection Option]],";"))),,R$12),"")</f>
        <v/>
      </c>
      <c r="S31" s="41" t="str" cm="1">
        <f t="array" ref="S31">IFERROR(INDEX(_xlfn.UNIQUE(TRIM(_xlfn.TEXTSPLIT(Table2511[[#This Row],[Selection Option]:[Selection Option]],";"))),,S$12),"")</f>
        <v/>
      </c>
      <c r="T31" s="41" t="str" cm="1">
        <f t="array" ref="T31">IFERROR(INDEX(_xlfn.UNIQUE(TRIM(_xlfn.TEXTSPLIT(Table2511[[#This Row],[Selection Option]:[Selection Option]],";"))),,T$12),"")</f>
        <v/>
      </c>
      <c r="U31" s="41" t="str" cm="1">
        <f t="array" ref="U31">IFERROR(INDEX(_xlfn.UNIQUE(TRIM(_xlfn.TEXTSPLIT(Table2511[[#This Row],[Selection Option]:[Selection Option]],";"))),,U$12),"")</f>
        <v/>
      </c>
      <c r="V31" s="41" t="str" cm="1">
        <f t="array" ref="V31">IFERROR(INDEX(_xlfn.UNIQUE(TRIM(_xlfn.TEXTSPLIT(Table2511[[#This Row],[Selection Option]:[Selection Option]],";"))),,V$12),"")</f>
        <v/>
      </c>
      <c r="W31" s="30" cm="1">
        <f t="array" ref="W31">IF(Table2511[[#This Row],[1]]="","",Table2511[[#This Row],[Weight]:[Weight]]-(Table2511[[#This Row],[Weight]:[Weight]]*((_xlfn.XMATCH(Table2511[[#This Row],[1]],Table2511[[#This Row],[1]:[11]],0))-1)/(COUNTA(Table2511[[#This Row],[1]:[11]])-COUNTBLANK(Table2511[[#This Row],[1]:[11]])-1)))</f>
        <v>2.097902097902098E-2</v>
      </c>
      <c r="X31" s="30" cm="1">
        <f t="array" ref="X31">IF(Table2511[[#This Row],[2]]="","",Table2511[[#This Row],[Weight]:[Weight]]-(Table2511[[#This Row],[Weight]:[Weight]]*((_xlfn.XMATCH(Table2511[[#This Row],[2]],Table2511[[#This Row],[1]:[11]],0))-1)/(COUNTA(Table2511[[#This Row],[1]:[11]])-COUNTBLANK(Table2511[[#This Row],[1]:[11]])-1)))</f>
        <v>1.048951048951049E-2</v>
      </c>
      <c r="Y31" s="30" cm="1">
        <f t="array" ref="Y31">IF(Table2511[[#This Row],[3]]="","",Table2511[[#This Row],[Weight]:[Weight]]-(Table2511[[#This Row],[Weight]:[Weight]]*((_xlfn.XMATCH(Table2511[[#This Row],[3]],Table2511[[#This Row],[1]:[11]],0))-1)/(COUNTA(Table2511[[#This Row],[1]:[11]])-COUNTBLANK(Table2511[[#This Row],[1]:[11]])-1)))</f>
        <v>0</v>
      </c>
      <c r="Z31" s="30" t="str" cm="1">
        <f t="array" ref="Z31">IF(Table2511[[#This Row],[4]]="","",Table2511[[#This Row],[Weight]:[Weight]]-(Table2511[[#This Row],[Weight]:[Weight]]*((_xlfn.XMATCH(Table2511[[#This Row],[4]],Table2511[[#This Row],[1]:[11]],0))-1)/(COUNTA(Table2511[[#This Row],[1]:[11]])-COUNTBLANK(Table2511[[#This Row],[1]:[11]])-1)))</f>
        <v/>
      </c>
      <c r="AA31" s="30" t="str" cm="1">
        <f t="array" ref="AA31">IF(Table2511[[#This Row],[5]]="","",Table2511[[#This Row],[Weight]:[Weight]]-(Table2511[[#This Row],[Weight]:[Weight]]*((_xlfn.XMATCH(Table2511[[#This Row],[5]],Table2511[[#This Row],[1]:[11]],0))-1)/(COUNTA(Table2511[[#This Row],[1]:[11]])-COUNTBLANK(Table2511[[#This Row],[1]:[11]])-1)))</f>
        <v/>
      </c>
      <c r="AB31" s="30" t="str" cm="1">
        <f t="array" ref="AB31">IF(Table2511[[#This Row],[6]]="","",Table2511[[#This Row],[Weight]:[Weight]]-(Table2511[[#This Row],[Weight]:[Weight]]*((_xlfn.XMATCH(Table2511[[#This Row],[6]],Table2511[[#This Row],[1]:[11]],0))-1)/(COUNTA(Table2511[[#This Row],[1]:[11]])-COUNTBLANK(Table2511[[#This Row],[1]:[11]])-1)))</f>
        <v/>
      </c>
      <c r="AC31" s="30" t="str" cm="1">
        <f t="array" ref="AC31">IF(Table2511[[#This Row],[7]]="","",Table2511[[#This Row],[Weight]:[Weight]]-(Table2511[[#This Row],[Weight]:[Weight]]*((_xlfn.XMATCH(Table2511[[#This Row],[7]],Table2511[[#This Row],[1]:[11]],0))-1)/(COUNTA(Table2511[[#This Row],[1]:[11]])-COUNTBLANK(Table2511[[#This Row],[1]:[11]])-1)))</f>
        <v/>
      </c>
      <c r="AD31" s="30" t="str" cm="1">
        <f t="array" ref="AD31">IF(Table2511[[#This Row],[8]]="","",Table2511[[#This Row],[Weight]:[Weight]]-(Table2511[[#This Row],[Weight]:[Weight]]*((_xlfn.XMATCH(Table2511[[#This Row],[8]],Table2511[[#This Row],[1]:[11]],0))-1)/(COUNTA(Table2511[[#This Row],[1]:[11]])-COUNTBLANK(Table2511[[#This Row],[1]:[11]])-1)))</f>
        <v/>
      </c>
      <c r="AE31" s="41" t="str" cm="1">
        <f t="array" ref="AE31">IF(Table2511[[#This Row],[9]]="","",Table2511[[#This Row],[Weight]:[Weight]]-(Table2511[[#This Row],[Weight]:[Weight]]*((_xlfn.XMATCH(Table2511[[#This Row],[9]],Table2511[[#This Row],[1]:[11]],0))-1)/(COUNTA(Table2511[[#This Row],[1]:[11]])-COUNTBLANK(Table2511[[#This Row],[1]:[11]])-1)))</f>
        <v/>
      </c>
      <c r="AF31" s="41" t="str" cm="1">
        <f t="array" ref="AF31">IF(Table2511[[#This Row],[10]]="","",Table2511[[#This Row],[Weight]:[Weight]]-(Table2511[[#This Row],[Weight]:[Weight]]*((_xlfn.XMATCH(Table2511[[#This Row],[10]],Table2511[[#This Row],[1]:[11]],0))-1)/(COUNTA(Table2511[[#This Row],[1]:[11]])-COUNTBLANK(Table2511[[#This Row],[1]:[11]])-1)))</f>
        <v/>
      </c>
      <c r="AG31" s="41" t="str" cm="1">
        <f t="array" ref="AG31">IF(Table2511[[#This Row],[11]]="","",Table2511[[#This Row],[Weight]:[Weight]]-(Table2511[[#This Row],[Weight]:[Weight]]*((_xlfn.XMATCH(Table2511[[#This Row],[11]],Table2511[[#This Row],[1]:[11]],0))-1)/(COUNTA(Table2511[[#This Row],[1]:[11]])-COUNTBLANK(Table2511[[#This Row],[1]:[11]])-1)))</f>
        <v/>
      </c>
    </row>
    <row r="32" spans="1:33" ht="72" x14ac:dyDescent="0.2">
      <c r="A32" s="117" t="s">
        <v>171</v>
      </c>
      <c r="B32" s="21" t="s">
        <v>172</v>
      </c>
      <c r="C32" s="204" t="s">
        <v>173</v>
      </c>
      <c r="D32" s="22" t="s">
        <v>60</v>
      </c>
      <c r="E32" s="23" cm="1">
        <f t="array" ref="E32">_xlfn.IFS(D32="","",D32="No interest",0,D32="Nice to have",1,D32="Useful",2,D32="Important",3,D32="Very important",4,D32="Critical",5,D32="Show stopper",6)</f>
        <v>6</v>
      </c>
      <c r="F32" s="24">
        <f t="shared" si="0"/>
        <v>2.097902097902098E-2</v>
      </c>
      <c r="G32" s="25" t="s">
        <v>403</v>
      </c>
      <c r="H32" s="25" t="str" cm="1">
        <f t="array" ref="H32">_xlfn.TEXTJOIN(" "&amp;CHAR(10),,TEXT(SUBSTITUTE(Table2511[[#This Row],[12]:[22]],".",","),"0,00%"))</f>
        <v>0,020979020979021 
0,0104895104895105 
0,00%</v>
      </c>
      <c r="I32" s="26" t="s">
        <v>404</v>
      </c>
      <c r="J32" s="27">
        <f>F32-(F32*((MATCH(Table2511[[#This Row],[Evaluators Response (SELECT)]],Table2511[[#This Row],[1]:[11]],0)-1)/(COUNTA(Table2511[[#This Row],[1]:[11]])-COUNTBLANK(Table2511[[#This Row],[1]:[11]])-1)))</f>
        <v>0</v>
      </c>
      <c r="K32" s="28"/>
      <c r="L32" s="41" t="str" cm="1">
        <f t="array" ref="L32">IFERROR(INDEX(_xlfn.UNIQUE(TRIM(_xlfn.TEXTSPLIT(Table2511[[#This Row],[Selection Option]:[Selection Option]],";"))),,L$12),"")</f>
        <v>1. Extensive functionality available</v>
      </c>
      <c r="M32" s="41" t="str" cm="1">
        <f t="array" ref="M32">IFERROR(INDEX(_xlfn.UNIQUE(TRIM(_xlfn.TEXTSPLIT(Table2511[[#This Row],[Selection Option]:[Selection Option]],";"))),,M$12),"")</f>
        <v xml:space="preserve">
2. Limited functionality available</v>
      </c>
      <c r="N32" s="41" t="str" cm="1">
        <f t="array" ref="N32">IFERROR(INDEX(_xlfn.UNIQUE(TRIM(_xlfn.TEXTSPLIT(Table2511[[#This Row],[Selection Option]:[Selection Option]],";"))),,N$12),"")</f>
        <v xml:space="preserve">
3. Functionality not available</v>
      </c>
      <c r="O32" s="41" t="str" cm="1">
        <f t="array" ref="O32">IFERROR(INDEX(_xlfn.UNIQUE(TRIM(_xlfn.TEXTSPLIT(Table2511[[#This Row],[Selection Option]:[Selection Option]],";"))),,O$12),"")</f>
        <v/>
      </c>
      <c r="P32" s="41" t="str" cm="1">
        <f t="array" ref="P32">IFERROR(INDEX(_xlfn.UNIQUE(TRIM(_xlfn.TEXTSPLIT(Table2511[[#This Row],[Selection Option]:[Selection Option]],";"))),,P$12),"")</f>
        <v/>
      </c>
      <c r="Q32" s="41" t="str" cm="1">
        <f t="array" ref="Q32">IFERROR(INDEX(_xlfn.UNIQUE(TRIM(_xlfn.TEXTSPLIT(Table2511[[#This Row],[Selection Option]:[Selection Option]],";"))),,Q$12),"")</f>
        <v/>
      </c>
      <c r="R32" s="41" t="str" cm="1">
        <f t="array" ref="R32">IFERROR(INDEX(_xlfn.UNIQUE(TRIM(_xlfn.TEXTSPLIT(Table2511[[#This Row],[Selection Option]:[Selection Option]],";"))),,R$12),"")</f>
        <v/>
      </c>
      <c r="S32" s="41" t="str" cm="1">
        <f t="array" ref="S32">IFERROR(INDEX(_xlfn.UNIQUE(TRIM(_xlfn.TEXTSPLIT(Table2511[[#This Row],[Selection Option]:[Selection Option]],";"))),,S$12),"")</f>
        <v/>
      </c>
      <c r="T32" s="41" t="str" cm="1">
        <f t="array" ref="T32">IFERROR(INDEX(_xlfn.UNIQUE(TRIM(_xlfn.TEXTSPLIT(Table2511[[#This Row],[Selection Option]:[Selection Option]],";"))),,T$12),"")</f>
        <v/>
      </c>
      <c r="U32" s="41" t="str" cm="1">
        <f t="array" ref="U32">IFERROR(INDEX(_xlfn.UNIQUE(TRIM(_xlfn.TEXTSPLIT(Table2511[[#This Row],[Selection Option]:[Selection Option]],";"))),,U$12),"")</f>
        <v/>
      </c>
      <c r="V32" s="41" t="str" cm="1">
        <f t="array" ref="V32">IFERROR(INDEX(_xlfn.UNIQUE(TRIM(_xlfn.TEXTSPLIT(Table2511[[#This Row],[Selection Option]:[Selection Option]],";"))),,V$12),"")</f>
        <v/>
      </c>
      <c r="W32" s="30" cm="1">
        <f t="array" ref="W32">IF(Table2511[[#This Row],[1]]="","",Table2511[[#This Row],[Weight]:[Weight]]-(Table2511[[#This Row],[Weight]:[Weight]]*((_xlfn.XMATCH(Table2511[[#This Row],[1]],Table2511[[#This Row],[1]:[11]],0))-1)/(COUNTA(Table2511[[#This Row],[1]:[11]])-COUNTBLANK(Table2511[[#This Row],[1]:[11]])-1)))</f>
        <v>2.097902097902098E-2</v>
      </c>
      <c r="X32" s="30" cm="1">
        <f t="array" ref="X32">IF(Table2511[[#This Row],[2]]="","",Table2511[[#This Row],[Weight]:[Weight]]-(Table2511[[#This Row],[Weight]:[Weight]]*((_xlfn.XMATCH(Table2511[[#This Row],[2]],Table2511[[#This Row],[1]:[11]],0))-1)/(COUNTA(Table2511[[#This Row],[1]:[11]])-COUNTBLANK(Table2511[[#This Row],[1]:[11]])-1)))</f>
        <v>1.048951048951049E-2</v>
      </c>
      <c r="Y32" s="30" cm="1">
        <f t="array" ref="Y32">IF(Table2511[[#This Row],[3]]="","",Table2511[[#This Row],[Weight]:[Weight]]-(Table2511[[#This Row],[Weight]:[Weight]]*((_xlfn.XMATCH(Table2511[[#This Row],[3]],Table2511[[#This Row],[1]:[11]],0))-1)/(COUNTA(Table2511[[#This Row],[1]:[11]])-COUNTBLANK(Table2511[[#This Row],[1]:[11]])-1)))</f>
        <v>0</v>
      </c>
      <c r="Z32" s="30" t="str" cm="1">
        <f t="array" ref="Z32">IF(Table2511[[#This Row],[4]]="","",Table2511[[#This Row],[Weight]:[Weight]]-(Table2511[[#This Row],[Weight]:[Weight]]*((_xlfn.XMATCH(Table2511[[#This Row],[4]],Table2511[[#This Row],[1]:[11]],0))-1)/(COUNTA(Table2511[[#This Row],[1]:[11]])-COUNTBLANK(Table2511[[#This Row],[1]:[11]])-1)))</f>
        <v/>
      </c>
      <c r="AA32" s="30" t="str" cm="1">
        <f t="array" ref="AA32">IF(Table2511[[#This Row],[5]]="","",Table2511[[#This Row],[Weight]:[Weight]]-(Table2511[[#This Row],[Weight]:[Weight]]*((_xlfn.XMATCH(Table2511[[#This Row],[5]],Table2511[[#This Row],[1]:[11]],0))-1)/(COUNTA(Table2511[[#This Row],[1]:[11]])-COUNTBLANK(Table2511[[#This Row],[1]:[11]])-1)))</f>
        <v/>
      </c>
      <c r="AB32" s="30" t="str" cm="1">
        <f t="array" ref="AB32">IF(Table2511[[#This Row],[6]]="","",Table2511[[#This Row],[Weight]:[Weight]]-(Table2511[[#This Row],[Weight]:[Weight]]*((_xlfn.XMATCH(Table2511[[#This Row],[6]],Table2511[[#This Row],[1]:[11]],0))-1)/(COUNTA(Table2511[[#This Row],[1]:[11]])-COUNTBLANK(Table2511[[#This Row],[1]:[11]])-1)))</f>
        <v/>
      </c>
      <c r="AC32" s="30" t="str" cm="1">
        <f t="array" ref="AC32">IF(Table2511[[#This Row],[7]]="","",Table2511[[#This Row],[Weight]:[Weight]]-(Table2511[[#This Row],[Weight]:[Weight]]*((_xlfn.XMATCH(Table2511[[#This Row],[7]],Table2511[[#This Row],[1]:[11]],0))-1)/(COUNTA(Table2511[[#This Row],[1]:[11]])-COUNTBLANK(Table2511[[#This Row],[1]:[11]])-1)))</f>
        <v/>
      </c>
      <c r="AD32" s="30" t="str" cm="1">
        <f t="array" ref="AD32">IF(Table2511[[#This Row],[8]]="","",Table2511[[#This Row],[Weight]:[Weight]]-(Table2511[[#This Row],[Weight]:[Weight]]*((_xlfn.XMATCH(Table2511[[#This Row],[8]],Table2511[[#This Row],[1]:[11]],0))-1)/(COUNTA(Table2511[[#This Row],[1]:[11]])-COUNTBLANK(Table2511[[#This Row],[1]:[11]])-1)))</f>
        <v/>
      </c>
      <c r="AE32" s="41" t="str" cm="1">
        <f t="array" ref="AE32">IF(Table2511[[#This Row],[9]]="","",Table2511[[#This Row],[Weight]:[Weight]]-(Table2511[[#This Row],[Weight]:[Weight]]*((_xlfn.XMATCH(Table2511[[#This Row],[9]],Table2511[[#This Row],[1]:[11]],0))-1)/(COUNTA(Table2511[[#This Row],[1]:[11]])-COUNTBLANK(Table2511[[#This Row],[1]:[11]])-1)))</f>
        <v/>
      </c>
      <c r="AF32" s="41" t="str" cm="1">
        <f t="array" ref="AF32">IF(Table2511[[#This Row],[10]]="","",Table2511[[#This Row],[Weight]:[Weight]]-(Table2511[[#This Row],[Weight]:[Weight]]*((_xlfn.XMATCH(Table2511[[#This Row],[10]],Table2511[[#This Row],[1]:[11]],0))-1)/(COUNTA(Table2511[[#This Row],[1]:[11]])-COUNTBLANK(Table2511[[#This Row],[1]:[11]])-1)))</f>
        <v/>
      </c>
      <c r="AG32" s="41" t="str" cm="1">
        <f t="array" ref="AG32">IF(Table2511[[#This Row],[11]]="","",Table2511[[#This Row],[Weight]:[Weight]]-(Table2511[[#This Row],[Weight]:[Weight]]*((_xlfn.XMATCH(Table2511[[#This Row],[11]],Table2511[[#This Row],[1]:[11]],0))-1)/(COUNTA(Table2511[[#This Row],[1]:[11]])-COUNTBLANK(Table2511[[#This Row],[1]:[11]])-1)))</f>
        <v/>
      </c>
    </row>
    <row r="33" spans="1:33" ht="72" x14ac:dyDescent="0.2">
      <c r="A33" s="117" t="s">
        <v>174</v>
      </c>
      <c r="B33" s="21" t="s">
        <v>175</v>
      </c>
      <c r="C33" s="204" t="s">
        <v>176</v>
      </c>
      <c r="D33" s="22" t="s">
        <v>60</v>
      </c>
      <c r="E33" s="23" cm="1">
        <f t="array" ref="E33">_xlfn.IFS(D33="","",D33="No interest",0,D33="Nice to have",1,D33="Useful",2,D33="Important",3,D33="Very important",4,D33="Critical",5,D33="Show stopper",6)</f>
        <v>6</v>
      </c>
      <c r="F33" s="24">
        <f t="shared" si="0"/>
        <v>2.097902097902098E-2</v>
      </c>
      <c r="G33" s="25" t="s">
        <v>403</v>
      </c>
      <c r="H33" s="25" t="str" cm="1">
        <f t="array" ref="H33">_xlfn.TEXTJOIN(" "&amp;CHAR(10),,TEXT(SUBSTITUTE(Table2511[[#This Row],[12]:[22]],".",","),"0,00%"))</f>
        <v>0,020979020979021 
0,0104895104895105 
0,00%</v>
      </c>
      <c r="I33" s="26" t="s">
        <v>404</v>
      </c>
      <c r="J33" s="27">
        <f>F33-(F33*((MATCH(Table2511[[#This Row],[Evaluators Response (SELECT)]],Table2511[[#This Row],[1]:[11]],0)-1)/(COUNTA(Table2511[[#This Row],[1]:[11]])-COUNTBLANK(Table2511[[#This Row],[1]:[11]])-1)))</f>
        <v>0</v>
      </c>
      <c r="K33" s="28"/>
      <c r="L33" s="41" t="str" cm="1">
        <f t="array" ref="L33">IFERROR(INDEX(_xlfn.UNIQUE(TRIM(_xlfn.TEXTSPLIT(Table2511[[#This Row],[Selection Option]:[Selection Option]],";"))),,L$12),"")</f>
        <v>1. Extensive functionality available</v>
      </c>
      <c r="M33" s="41" t="str" cm="1">
        <f t="array" ref="M33">IFERROR(INDEX(_xlfn.UNIQUE(TRIM(_xlfn.TEXTSPLIT(Table2511[[#This Row],[Selection Option]:[Selection Option]],";"))),,M$12),"")</f>
        <v xml:space="preserve">
2. Limited functionality available</v>
      </c>
      <c r="N33" s="41" t="str" cm="1">
        <f t="array" ref="N33">IFERROR(INDEX(_xlfn.UNIQUE(TRIM(_xlfn.TEXTSPLIT(Table2511[[#This Row],[Selection Option]:[Selection Option]],";"))),,N$12),"")</f>
        <v xml:space="preserve">
3. Functionality not available</v>
      </c>
      <c r="O33" s="41" t="str" cm="1">
        <f t="array" ref="O33">IFERROR(INDEX(_xlfn.UNIQUE(TRIM(_xlfn.TEXTSPLIT(Table2511[[#This Row],[Selection Option]:[Selection Option]],";"))),,O$12),"")</f>
        <v/>
      </c>
      <c r="P33" s="41" t="str" cm="1">
        <f t="array" ref="P33">IFERROR(INDEX(_xlfn.UNIQUE(TRIM(_xlfn.TEXTSPLIT(Table2511[[#This Row],[Selection Option]:[Selection Option]],";"))),,P$12),"")</f>
        <v/>
      </c>
      <c r="Q33" s="41" t="str" cm="1">
        <f t="array" ref="Q33">IFERROR(INDEX(_xlfn.UNIQUE(TRIM(_xlfn.TEXTSPLIT(Table2511[[#This Row],[Selection Option]:[Selection Option]],";"))),,Q$12),"")</f>
        <v/>
      </c>
      <c r="R33" s="41" t="str" cm="1">
        <f t="array" ref="R33">IFERROR(INDEX(_xlfn.UNIQUE(TRIM(_xlfn.TEXTSPLIT(Table2511[[#This Row],[Selection Option]:[Selection Option]],";"))),,R$12),"")</f>
        <v/>
      </c>
      <c r="S33" s="41" t="str" cm="1">
        <f t="array" ref="S33">IFERROR(INDEX(_xlfn.UNIQUE(TRIM(_xlfn.TEXTSPLIT(Table2511[[#This Row],[Selection Option]:[Selection Option]],";"))),,S$12),"")</f>
        <v/>
      </c>
      <c r="T33" s="41" t="str" cm="1">
        <f t="array" ref="T33">IFERROR(INDEX(_xlfn.UNIQUE(TRIM(_xlfn.TEXTSPLIT(Table2511[[#This Row],[Selection Option]:[Selection Option]],";"))),,T$12),"")</f>
        <v/>
      </c>
      <c r="U33" s="41" t="str" cm="1">
        <f t="array" ref="U33">IFERROR(INDEX(_xlfn.UNIQUE(TRIM(_xlfn.TEXTSPLIT(Table2511[[#This Row],[Selection Option]:[Selection Option]],";"))),,U$12),"")</f>
        <v/>
      </c>
      <c r="V33" s="41" t="str" cm="1">
        <f t="array" ref="V33">IFERROR(INDEX(_xlfn.UNIQUE(TRIM(_xlfn.TEXTSPLIT(Table2511[[#This Row],[Selection Option]:[Selection Option]],";"))),,V$12),"")</f>
        <v/>
      </c>
      <c r="W33" s="30" cm="1">
        <f t="array" ref="W33">IF(Table2511[[#This Row],[1]]="","",Table2511[[#This Row],[Weight]:[Weight]]-(Table2511[[#This Row],[Weight]:[Weight]]*((_xlfn.XMATCH(Table2511[[#This Row],[1]],Table2511[[#This Row],[1]:[11]],0))-1)/(COUNTA(Table2511[[#This Row],[1]:[11]])-COUNTBLANK(Table2511[[#This Row],[1]:[11]])-1)))</f>
        <v>2.097902097902098E-2</v>
      </c>
      <c r="X33" s="30" cm="1">
        <f t="array" ref="X33">IF(Table2511[[#This Row],[2]]="","",Table2511[[#This Row],[Weight]:[Weight]]-(Table2511[[#This Row],[Weight]:[Weight]]*((_xlfn.XMATCH(Table2511[[#This Row],[2]],Table2511[[#This Row],[1]:[11]],0))-1)/(COUNTA(Table2511[[#This Row],[1]:[11]])-COUNTBLANK(Table2511[[#This Row],[1]:[11]])-1)))</f>
        <v>1.048951048951049E-2</v>
      </c>
      <c r="Y33" s="30" cm="1">
        <f t="array" ref="Y33">IF(Table2511[[#This Row],[3]]="","",Table2511[[#This Row],[Weight]:[Weight]]-(Table2511[[#This Row],[Weight]:[Weight]]*((_xlfn.XMATCH(Table2511[[#This Row],[3]],Table2511[[#This Row],[1]:[11]],0))-1)/(COUNTA(Table2511[[#This Row],[1]:[11]])-COUNTBLANK(Table2511[[#This Row],[1]:[11]])-1)))</f>
        <v>0</v>
      </c>
      <c r="Z33" s="30" t="str" cm="1">
        <f t="array" ref="Z33">IF(Table2511[[#This Row],[4]]="","",Table2511[[#This Row],[Weight]:[Weight]]-(Table2511[[#This Row],[Weight]:[Weight]]*((_xlfn.XMATCH(Table2511[[#This Row],[4]],Table2511[[#This Row],[1]:[11]],0))-1)/(COUNTA(Table2511[[#This Row],[1]:[11]])-COUNTBLANK(Table2511[[#This Row],[1]:[11]])-1)))</f>
        <v/>
      </c>
      <c r="AA33" s="30" t="str" cm="1">
        <f t="array" ref="AA33">IF(Table2511[[#This Row],[5]]="","",Table2511[[#This Row],[Weight]:[Weight]]-(Table2511[[#This Row],[Weight]:[Weight]]*((_xlfn.XMATCH(Table2511[[#This Row],[5]],Table2511[[#This Row],[1]:[11]],0))-1)/(COUNTA(Table2511[[#This Row],[1]:[11]])-COUNTBLANK(Table2511[[#This Row],[1]:[11]])-1)))</f>
        <v/>
      </c>
      <c r="AB33" s="30" t="str" cm="1">
        <f t="array" ref="AB33">IF(Table2511[[#This Row],[6]]="","",Table2511[[#This Row],[Weight]:[Weight]]-(Table2511[[#This Row],[Weight]:[Weight]]*((_xlfn.XMATCH(Table2511[[#This Row],[6]],Table2511[[#This Row],[1]:[11]],0))-1)/(COUNTA(Table2511[[#This Row],[1]:[11]])-COUNTBLANK(Table2511[[#This Row],[1]:[11]])-1)))</f>
        <v/>
      </c>
      <c r="AC33" s="30" t="str" cm="1">
        <f t="array" ref="AC33">IF(Table2511[[#This Row],[7]]="","",Table2511[[#This Row],[Weight]:[Weight]]-(Table2511[[#This Row],[Weight]:[Weight]]*((_xlfn.XMATCH(Table2511[[#This Row],[7]],Table2511[[#This Row],[1]:[11]],0))-1)/(COUNTA(Table2511[[#This Row],[1]:[11]])-COUNTBLANK(Table2511[[#This Row],[1]:[11]])-1)))</f>
        <v/>
      </c>
      <c r="AD33" s="30" t="str" cm="1">
        <f t="array" ref="AD33">IF(Table2511[[#This Row],[8]]="","",Table2511[[#This Row],[Weight]:[Weight]]-(Table2511[[#This Row],[Weight]:[Weight]]*((_xlfn.XMATCH(Table2511[[#This Row],[8]],Table2511[[#This Row],[1]:[11]],0))-1)/(COUNTA(Table2511[[#This Row],[1]:[11]])-COUNTBLANK(Table2511[[#This Row],[1]:[11]])-1)))</f>
        <v/>
      </c>
      <c r="AE33" s="41" t="str" cm="1">
        <f t="array" ref="AE33">IF(Table2511[[#This Row],[9]]="","",Table2511[[#This Row],[Weight]:[Weight]]-(Table2511[[#This Row],[Weight]:[Weight]]*((_xlfn.XMATCH(Table2511[[#This Row],[9]],Table2511[[#This Row],[1]:[11]],0))-1)/(COUNTA(Table2511[[#This Row],[1]:[11]])-COUNTBLANK(Table2511[[#This Row],[1]:[11]])-1)))</f>
        <v/>
      </c>
      <c r="AF33" s="41" t="str" cm="1">
        <f t="array" ref="AF33">IF(Table2511[[#This Row],[10]]="","",Table2511[[#This Row],[Weight]:[Weight]]-(Table2511[[#This Row],[Weight]:[Weight]]*((_xlfn.XMATCH(Table2511[[#This Row],[10]],Table2511[[#This Row],[1]:[11]],0))-1)/(COUNTA(Table2511[[#This Row],[1]:[11]])-COUNTBLANK(Table2511[[#This Row],[1]:[11]])-1)))</f>
        <v/>
      </c>
      <c r="AG33" s="41" t="str" cm="1">
        <f t="array" ref="AG33">IF(Table2511[[#This Row],[11]]="","",Table2511[[#This Row],[Weight]:[Weight]]-(Table2511[[#This Row],[Weight]:[Weight]]*((_xlfn.XMATCH(Table2511[[#This Row],[11]],Table2511[[#This Row],[1]:[11]],0))-1)/(COUNTA(Table2511[[#This Row],[1]:[11]])-COUNTBLANK(Table2511[[#This Row],[1]:[11]])-1)))</f>
        <v/>
      </c>
    </row>
    <row r="34" spans="1:33" ht="72" x14ac:dyDescent="0.2">
      <c r="A34" s="117" t="s">
        <v>177</v>
      </c>
      <c r="B34" s="21" t="s">
        <v>178</v>
      </c>
      <c r="C34" s="204" t="s">
        <v>179</v>
      </c>
      <c r="D34" s="22" t="s">
        <v>60</v>
      </c>
      <c r="E34" s="23" cm="1">
        <f t="array" ref="E34">_xlfn.IFS(D34="","",D34="No interest",0,D34="Nice to have",1,D34="Useful",2,D34="Important",3,D34="Very important",4,D34="Critical",5,D34="Show stopper",6)</f>
        <v>6</v>
      </c>
      <c r="F34" s="24">
        <f t="shared" si="0"/>
        <v>2.097902097902098E-2</v>
      </c>
      <c r="G34" s="25" t="s">
        <v>403</v>
      </c>
      <c r="H34" s="25" t="str" cm="1">
        <f t="array" ref="H34">_xlfn.TEXTJOIN(" "&amp;CHAR(10),,TEXT(SUBSTITUTE(Table2511[[#This Row],[12]:[22]],".",","),"0,00%"))</f>
        <v>0,020979020979021 
0,0104895104895105 
0,00%</v>
      </c>
      <c r="I34" s="26" t="s">
        <v>404</v>
      </c>
      <c r="J34" s="27">
        <f>F34-(F34*((MATCH(Table2511[[#This Row],[Evaluators Response (SELECT)]],Table2511[[#This Row],[1]:[11]],0)-1)/(COUNTA(Table2511[[#This Row],[1]:[11]])-COUNTBLANK(Table2511[[#This Row],[1]:[11]])-1)))</f>
        <v>0</v>
      </c>
      <c r="K34" s="28"/>
      <c r="L34" s="41" t="str" cm="1">
        <f t="array" ref="L34">IFERROR(INDEX(_xlfn.UNIQUE(TRIM(_xlfn.TEXTSPLIT(Table2511[[#This Row],[Selection Option]:[Selection Option]],";"))),,L$12),"")</f>
        <v>1. Extensive functionality available</v>
      </c>
      <c r="M34" s="41" t="str" cm="1">
        <f t="array" ref="M34">IFERROR(INDEX(_xlfn.UNIQUE(TRIM(_xlfn.TEXTSPLIT(Table2511[[#This Row],[Selection Option]:[Selection Option]],";"))),,M$12),"")</f>
        <v xml:space="preserve">
2. Limited functionality available</v>
      </c>
      <c r="N34" s="41" t="str" cm="1">
        <f t="array" ref="N34">IFERROR(INDEX(_xlfn.UNIQUE(TRIM(_xlfn.TEXTSPLIT(Table2511[[#This Row],[Selection Option]:[Selection Option]],";"))),,N$12),"")</f>
        <v xml:space="preserve">
3. Functionality not available</v>
      </c>
      <c r="O34" s="41" t="str" cm="1">
        <f t="array" ref="O34">IFERROR(INDEX(_xlfn.UNIQUE(TRIM(_xlfn.TEXTSPLIT(Table2511[[#This Row],[Selection Option]:[Selection Option]],";"))),,O$12),"")</f>
        <v/>
      </c>
      <c r="P34" s="41" t="str" cm="1">
        <f t="array" ref="P34">IFERROR(INDEX(_xlfn.UNIQUE(TRIM(_xlfn.TEXTSPLIT(Table2511[[#This Row],[Selection Option]:[Selection Option]],";"))),,P$12),"")</f>
        <v/>
      </c>
      <c r="Q34" s="41" t="str" cm="1">
        <f t="array" ref="Q34">IFERROR(INDEX(_xlfn.UNIQUE(TRIM(_xlfn.TEXTSPLIT(Table2511[[#This Row],[Selection Option]:[Selection Option]],";"))),,Q$12),"")</f>
        <v/>
      </c>
      <c r="R34" s="41" t="str" cm="1">
        <f t="array" ref="R34">IFERROR(INDEX(_xlfn.UNIQUE(TRIM(_xlfn.TEXTSPLIT(Table2511[[#This Row],[Selection Option]:[Selection Option]],";"))),,R$12),"")</f>
        <v/>
      </c>
      <c r="S34" s="41" t="str" cm="1">
        <f t="array" ref="S34">IFERROR(INDEX(_xlfn.UNIQUE(TRIM(_xlfn.TEXTSPLIT(Table2511[[#This Row],[Selection Option]:[Selection Option]],";"))),,S$12),"")</f>
        <v/>
      </c>
      <c r="T34" s="41" t="str" cm="1">
        <f t="array" ref="T34">IFERROR(INDEX(_xlfn.UNIQUE(TRIM(_xlfn.TEXTSPLIT(Table2511[[#This Row],[Selection Option]:[Selection Option]],";"))),,T$12),"")</f>
        <v/>
      </c>
      <c r="U34" s="41" t="str" cm="1">
        <f t="array" ref="U34">IFERROR(INDEX(_xlfn.UNIQUE(TRIM(_xlfn.TEXTSPLIT(Table2511[[#This Row],[Selection Option]:[Selection Option]],";"))),,U$12),"")</f>
        <v/>
      </c>
      <c r="V34" s="41" t="str" cm="1">
        <f t="array" ref="V34">IFERROR(INDEX(_xlfn.UNIQUE(TRIM(_xlfn.TEXTSPLIT(Table2511[[#This Row],[Selection Option]:[Selection Option]],";"))),,V$12),"")</f>
        <v/>
      </c>
      <c r="W34" s="30" cm="1">
        <f t="array" ref="W34">IF(Table2511[[#This Row],[1]]="","",Table2511[[#This Row],[Weight]:[Weight]]-(Table2511[[#This Row],[Weight]:[Weight]]*((_xlfn.XMATCH(Table2511[[#This Row],[1]],Table2511[[#This Row],[1]:[11]],0))-1)/(COUNTA(Table2511[[#This Row],[1]:[11]])-COUNTBLANK(Table2511[[#This Row],[1]:[11]])-1)))</f>
        <v>2.097902097902098E-2</v>
      </c>
      <c r="X34" s="30" cm="1">
        <f t="array" ref="X34">IF(Table2511[[#This Row],[2]]="","",Table2511[[#This Row],[Weight]:[Weight]]-(Table2511[[#This Row],[Weight]:[Weight]]*((_xlfn.XMATCH(Table2511[[#This Row],[2]],Table2511[[#This Row],[1]:[11]],0))-1)/(COUNTA(Table2511[[#This Row],[1]:[11]])-COUNTBLANK(Table2511[[#This Row],[1]:[11]])-1)))</f>
        <v>1.048951048951049E-2</v>
      </c>
      <c r="Y34" s="30" cm="1">
        <f t="array" ref="Y34">IF(Table2511[[#This Row],[3]]="","",Table2511[[#This Row],[Weight]:[Weight]]-(Table2511[[#This Row],[Weight]:[Weight]]*((_xlfn.XMATCH(Table2511[[#This Row],[3]],Table2511[[#This Row],[1]:[11]],0))-1)/(COUNTA(Table2511[[#This Row],[1]:[11]])-COUNTBLANK(Table2511[[#This Row],[1]:[11]])-1)))</f>
        <v>0</v>
      </c>
      <c r="Z34" s="30" t="str" cm="1">
        <f t="array" ref="Z34">IF(Table2511[[#This Row],[4]]="","",Table2511[[#This Row],[Weight]:[Weight]]-(Table2511[[#This Row],[Weight]:[Weight]]*((_xlfn.XMATCH(Table2511[[#This Row],[4]],Table2511[[#This Row],[1]:[11]],0))-1)/(COUNTA(Table2511[[#This Row],[1]:[11]])-COUNTBLANK(Table2511[[#This Row],[1]:[11]])-1)))</f>
        <v/>
      </c>
      <c r="AA34" s="30" t="str" cm="1">
        <f t="array" ref="AA34">IF(Table2511[[#This Row],[5]]="","",Table2511[[#This Row],[Weight]:[Weight]]-(Table2511[[#This Row],[Weight]:[Weight]]*((_xlfn.XMATCH(Table2511[[#This Row],[5]],Table2511[[#This Row],[1]:[11]],0))-1)/(COUNTA(Table2511[[#This Row],[1]:[11]])-COUNTBLANK(Table2511[[#This Row],[1]:[11]])-1)))</f>
        <v/>
      </c>
      <c r="AB34" s="30" t="str" cm="1">
        <f t="array" ref="AB34">IF(Table2511[[#This Row],[6]]="","",Table2511[[#This Row],[Weight]:[Weight]]-(Table2511[[#This Row],[Weight]:[Weight]]*((_xlfn.XMATCH(Table2511[[#This Row],[6]],Table2511[[#This Row],[1]:[11]],0))-1)/(COUNTA(Table2511[[#This Row],[1]:[11]])-COUNTBLANK(Table2511[[#This Row],[1]:[11]])-1)))</f>
        <v/>
      </c>
      <c r="AC34" s="30" t="str" cm="1">
        <f t="array" ref="AC34">IF(Table2511[[#This Row],[7]]="","",Table2511[[#This Row],[Weight]:[Weight]]-(Table2511[[#This Row],[Weight]:[Weight]]*((_xlfn.XMATCH(Table2511[[#This Row],[7]],Table2511[[#This Row],[1]:[11]],0))-1)/(COUNTA(Table2511[[#This Row],[1]:[11]])-COUNTBLANK(Table2511[[#This Row],[1]:[11]])-1)))</f>
        <v/>
      </c>
      <c r="AD34" s="30" t="str" cm="1">
        <f t="array" ref="AD34">IF(Table2511[[#This Row],[8]]="","",Table2511[[#This Row],[Weight]:[Weight]]-(Table2511[[#This Row],[Weight]:[Weight]]*((_xlfn.XMATCH(Table2511[[#This Row],[8]],Table2511[[#This Row],[1]:[11]],0))-1)/(COUNTA(Table2511[[#This Row],[1]:[11]])-COUNTBLANK(Table2511[[#This Row],[1]:[11]])-1)))</f>
        <v/>
      </c>
      <c r="AE34" s="41" t="str" cm="1">
        <f t="array" ref="AE34">IF(Table2511[[#This Row],[9]]="","",Table2511[[#This Row],[Weight]:[Weight]]-(Table2511[[#This Row],[Weight]:[Weight]]*((_xlfn.XMATCH(Table2511[[#This Row],[9]],Table2511[[#This Row],[1]:[11]],0))-1)/(COUNTA(Table2511[[#This Row],[1]:[11]])-COUNTBLANK(Table2511[[#This Row],[1]:[11]])-1)))</f>
        <v/>
      </c>
      <c r="AF34" s="41" t="str" cm="1">
        <f t="array" ref="AF34">IF(Table2511[[#This Row],[10]]="","",Table2511[[#This Row],[Weight]:[Weight]]-(Table2511[[#This Row],[Weight]:[Weight]]*((_xlfn.XMATCH(Table2511[[#This Row],[10]],Table2511[[#This Row],[1]:[11]],0))-1)/(COUNTA(Table2511[[#This Row],[1]:[11]])-COUNTBLANK(Table2511[[#This Row],[1]:[11]])-1)))</f>
        <v/>
      </c>
      <c r="AG34" s="41" t="str" cm="1">
        <f t="array" ref="AG34">IF(Table2511[[#This Row],[11]]="","",Table2511[[#This Row],[Weight]:[Weight]]-(Table2511[[#This Row],[Weight]:[Weight]]*((_xlfn.XMATCH(Table2511[[#This Row],[11]],Table2511[[#This Row],[1]:[11]],0))-1)/(COUNTA(Table2511[[#This Row],[1]:[11]])-COUNTBLANK(Table2511[[#This Row],[1]:[11]])-1)))</f>
        <v/>
      </c>
    </row>
    <row r="35" spans="1:33" ht="72" x14ac:dyDescent="0.2">
      <c r="A35" s="117" t="s">
        <v>180</v>
      </c>
      <c r="B35" s="183" t="s">
        <v>181</v>
      </c>
      <c r="C35" s="204" t="s">
        <v>182</v>
      </c>
      <c r="D35" s="22" t="s">
        <v>60</v>
      </c>
      <c r="E35" s="23" cm="1">
        <f t="array" ref="E35">_xlfn.IFS(D35="","",D35="No interest",0,D35="Nice to have",1,D35="Useful",2,D35="Important",3,D35="Very important",4,D35="Critical",5,D35="Show stopper",6)</f>
        <v>6</v>
      </c>
      <c r="F35" s="24">
        <f t="shared" si="0"/>
        <v>2.097902097902098E-2</v>
      </c>
      <c r="G35" s="25" t="s">
        <v>403</v>
      </c>
      <c r="H35" s="25" t="str" cm="1">
        <f t="array" ref="H35">_xlfn.TEXTJOIN(" "&amp;CHAR(10),,TEXT(SUBSTITUTE(Table2511[[#This Row],[12]:[22]],".",","),"0,00%"))</f>
        <v>0,020979020979021 
0,0104895104895105 
0,00%</v>
      </c>
      <c r="I35" s="26" t="s">
        <v>404</v>
      </c>
      <c r="J35" s="27">
        <f>F35-(F35*((MATCH(Table2511[[#This Row],[Evaluators Response (SELECT)]],Table2511[[#This Row],[1]:[11]],0)-1)/(COUNTA(Table2511[[#This Row],[1]:[11]])-COUNTBLANK(Table2511[[#This Row],[1]:[11]])-1)))</f>
        <v>0</v>
      </c>
      <c r="K35" s="28"/>
      <c r="L35" s="41" t="str" cm="1">
        <f t="array" ref="L35">IFERROR(INDEX(_xlfn.UNIQUE(TRIM(_xlfn.TEXTSPLIT(Table2511[[#This Row],[Selection Option]:[Selection Option]],";"))),,L$12),"")</f>
        <v>1. Extensive functionality available</v>
      </c>
      <c r="M35" s="41" t="str" cm="1">
        <f t="array" ref="M35">IFERROR(INDEX(_xlfn.UNIQUE(TRIM(_xlfn.TEXTSPLIT(Table2511[[#This Row],[Selection Option]:[Selection Option]],";"))),,M$12),"")</f>
        <v xml:space="preserve">
2. Limited functionality available</v>
      </c>
      <c r="N35" s="41" t="str" cm="1">
        <f t="array" ref="N35">IFERROR(INDEX(_xlfn.UNIQUE(TRIM(_xlfn.TEXTSPLIT(Table2511[[#This Row],[Selection Option]:[Selection Option]],";"))),,N$12),"")</f>
        <v xml:space="preserve">
3. Functionality not available</v>
      </c>
      <c r="O35" s="41" t="str" cm="1">
        <f t="array" ref="O35">IFERROR(INDEX(_xlfn.UNIQUE(TRIM(_xlfn.TEXTSPLIT(Table2511[[#This Row],[Selection Option]:[Selection Option]],";"))),,O$12),"")</f>
        <v/>
      </c>
      <c r="P35" s="41" t="str" cm="1">
        <f t="array" ref="P35">IFERROR(INDEX(_xlfn.UNIQUE(TRIM(_xlfn.TEXTSPLIT(Table2511[[#This Row],[Selection Option]:[Selection Option]],";"))),,P$12),"")</f>
        <v/>
      </c>
      <c r="Q35" s="41" t="str" cm="1">
        <f t="array" ref="Q35">IFERROR(INDEX(_xlfn.UNIQUE(TRIM(_xlfn.TEXTSPLIT(Table2511[[#This Row],[Selection Option]:[Selection Option]],";"))),,Q$12),"")</f>
        <v/>
      </c>
      <c r="R35" s="41" t="str" cm="1">
        <f t="array" ref="R35">IFERROR(INDEX(_xlfn.UNIQUE(TRIM(_xlfn.TEXTSPLIT(Table2511[[#This Row],[Selection Option]:[Selection Option]],";"))),,R$12),"")</f>
        <v/>
      </c>
      <c r="S35" s="41" t="str" cm="1">
        <f t="array" ref="S35">IFERROR(INDEX(_xlfn.UNIQUE(TRIM(_xlfn.TEXTSPLIT(Table2511[[#This Row],[Selection Option]:[Selection Option]],";"))),,S$12),"")</f>
        <v/>
      </c>
      <c r="T35" s="41" t="str" cm="1">
        <f t="array" ref="T35">IFERROR(INDEX(_xlfn.UNIQUE(TRIM(_xlfn.TEXTSPLIT(Table2511[[#This Row],[Selection Option]:[Selection Option]],";"))),,T$12),"")</f>
        <v/>
      </c>
      <c r="U35" s="41" t="str" cm="1">
        <f t="array" ref="U35">IFERROR(INDEX(_xlfn.UNIQUE(TRIM(_xlfn.TEXTSPLIT(Table2511[[#This Row],[Selection Option]:[Selection Option]],";"))),,U$12),"")</f>
        <v/>
      </c>
      <c r="V35" s="41" t="str" cm="1">
        <f t="array" ref="V35">IFERROR(INDEX(_xlfn.UNIQUE(TRIM(_xlfn.TEXTSPLIT(Table2511[[#This Row],[Selection Option]:[Selection Option]],";"))),,V$12),"")</f>
        <v/>
      </c>
      <c r="W35" s="30" cm="1">
        <f t="array" ref="W35">IF(Table2511[[#This Row],[1]]="","",Table2511[[#This Row],[Weight]:[Weight]]-(Table2511[[#This Row],[Weight]:[Weight]]*((_xlfn.XMATCH(Table2511[[#This Row],[1]],Table2511[[#This Row],[1]:[11]],0))-1)/(COUNTA(Table2511[[#This Row],[1]:[11]])-COUNTBLANK(Table2511[[#This Row],[1]:[11]])-1)))</f>
        <v>2.097902097902098E-2</v>
      </c>
      <c r="X35" s="30" cm="1">
        <f t="array" ref="X35">IF(Table2511[[#This Row],[2]]="","",Table2511[[#This Row],[Weight]:[Weight]]-(Table2511[[#This Row],[Weight]:[Weight]]*((_xlfn.XMATCH(Table2511[[#This Row],[2]],Table2511[[#This Row],[1]:[11]],0))-1)/(COUNTA(Table2511[[#This Row],[1]:[11]])-COUNTBLANK(Table2511[[#This Row],[1]:[11]])-1)))</f>
        <v>1.048951048951049E-2</v>
      </c>
      <c r="Y35" s="30" cm="1">
        <f t="array" ref="Y35">IF(Table2511[[#This Row],[3]]="","",Table2511[[#This Row],[Weight]:[Weight]]-(Table2511[[#This Row],[Weight]:[Weight]]*((_xlfn.XMATCH(Table2511[[#This Row],[3]],Table2511[[#This Row],[1]:[11]],0))-1)/(COUNTA(Table2511[[#This Row],[1]:[11]])-COUNTBLANK(Table2511[[#This Row],[1]:[11]])-1)))</f>
        <v>0</v>
      </c>
      <c r="Z35" s="30" t="str" cm="1">
        <f t="array" ref="Z35">IF(Table2511[[#This Row],[4]]="","",Table2511[[#This Row],[Weight]:[Weight]]-(Table2511[[#This Row],[Weight]:[Weight]]*((_xlfn.XMATCH(Table2511[[#This Row],[4]],Table2511[[#This Row],[1]:[11]],0))-1)/(COUNTA(Table2511[[#This Row],[1]:[11]])-COUNTBLANK(Table2511[[#This Row],[1]:[11]])-1)))</f>
        <v/>
      </c>
      <c r="AA35" s="30" t="str" cm="1">
        <f t="array" ref="AA35">IF(Table2511[[#This Row],[5]]="","",Table2511[[#This Row],[Weight]:[Weight]]-(Table2511[[#This Row],[Weight]:[Weight]]*((_xlfn.XMATCH(Table2511[[#This Row],[5]],Table2511[[#This Row],[1]:[11]],0))-1)/(COUNTA(Table2511[[#This Row],[1]:[11]])-COUNTBLANK(Table2511[[#This Row],[1]:[11]])-1)))</f>
        <v/>
      </c>
      <c r="AB35" s="30" t="str" cm="1">
        <f t="array" ref="AB35">IF(Table2511[[#This Row],[6]]="","",Table2511[[#This Row],[Weight]:[Weight]]-(Table2511[[#This Row],[Weight]:[Weight]]*((_xlfn.XMATCH(Table2511[[#This Row],[6]],Table2511[[#This Row],[1]:[11]],0))-1)/(COUNTA(Table2511[[#This Row],[1]:[11]])-COUNTBLANK(Table2511[[#This Row],[1]:[11]])-1)))</f>
        <v/>
      </c>
      <c r="AC35" s="30" t="str" cm="1">
        <f t="array" ref="AC35">IF(Table2511[[#This Row],[7]]="","",Table2511[[#This Row],[Weight]:[Weight]]-(Table2511[[#This Row],[Weight]:[Weight]]*((_xlfn.XMATCH(Table2511[[#This Row],[7]],Table2511[[#This Row],[1]:[11]],0))-1)/(COUNTA(Table2511[[#This Row],[1]:[11]])-COUNTBLANK(Table2511[[#This Row],[1]:[11]])-1)))</f>
        <v/>
      </c>
      <c r="AD35" s="30" t="str" cm="1">
        <f t="array" ref="AD35">IF(Table2511[[#This Row],[8]]="","",Table2511[[#This Row],[Weight]:[Weight]]-(Table2511[[#This Row],[Weight]:[Weight]]*((_xlfn.XMATCH(Table2511[[#This Row],[8]],Table2511[[#This Row],[1]:[11]],0))-1)/(COUNTA(Table2511[[#This Row],[1]:[11]])-COUNTBLANK(Table2511[[#This Row],[1]:[11]])-1)))</f>
        <v/>
      </c>
      <c r="AE35" s="41" t="str" cm="1">
        <f t="array" ref="AE35">IF(Table2511[[#This Row],[9]]="","",Table2511[[#This Row],[Weight]:[Weight]]-(Table2511[[#This Row],[Weight]:[Weight]]*((_xlfn.XMATCH(Table2511[[#This Row],[9]],Table2511[[#This Row],[1]:[11]],0))-1)/(COUNTA(Table2511[[#This Row],[1]:[11]])-COUNTBLANK(Table2511[[#This Row],[1]:[11]])-1)))</f>
        <v/>
      </c>
      <c r="AF35" s="41" t="str" cm="1">
        <f t="array" ref="AF35">IF(Table2511[[#This Row],[10]]="","",Table2511[[#This Row],[Weight]:[Weight]]-(Table2511[[#This Row],[Weight]:[Weight]]*((_xlfn.XMATCH(Table2511[[#This Row],[10]],Table2511[[#This Row],[1]:[11]],0))-1)/(COUNTA(Table2511[[#This Row],[1]:[11]])-COUNTBLANK(Table2511[[#This Row],[1]:[11]])-1)))</f>
        <v/>
      </c>
      <c r="AG35" s="41" t="str" cm="1">
        <f t="array" ref="AG35">IF(Table2511[[#This Row],[11]]="","",Table2511[[#This Row],[Weight]:[Weight]]-(Table2511[[#This Row],[Weight]:[Weight]]*((_xlfn.XMATCH(Table2511[[#This Row],[11]],Table2511[[#This Row],[1]:[11]],0))-1)/(COUNTA(Table2511[[#This Row],[1]:[11]])-COUNTBLANK(Table2511[[#This Row],[1]:[11]])-1)))</f>
        <v/>
      </c>
    </row>
    <row r="36" spans="1:33" ht="72" x14ac:dyDescent="0.2">
      <c r="A36" s="117" t="s">
        <v>183</v>
      </c>
      <c r="B36" s="183" t="s">
        <v>184</v>
      </c>
      <c r="C36" s="204" t="s">
        <v>185</v>
      </c>
      <c r="D36" s="22" t="s">
        <v>60</v>
      </c>
      <c r="E36" s="23" cm="1">
        <f t="array" ref="E36">_xlfn.IFS(D36="","",D36="No interest",0,D36="Nice to have",1,D36="Useful",2,D36="Important",3,D36="Very important",4,D36="Critical",5,D36="Show stopper",6)</f>
        <v>6</v>
      </c>
      <c r="F36" s="24">
        <f t="shared" si="0"/>
        <v>2.097902097902098E-2</v>
      </c>
      <c r="G36" s="25" t="s">
        <v>403</v>
      </c>
      <c r="H36" s="25" t="str" cm="1">
        <f t="array" ref="H36">_xlfn.TEXTJOIN(" "&amp;CHAR(10),,TEXT(SUBSTITUTE(Table2511[[#This Row],[12]:[22]],".",","),"0,00%"))</f>
        <v>0,020979020979021 
0,0104895104895105 
0,00%</v>
      </c>
      <c r="I36" s="26" t="s">
        <v>404</v>
      </c>
      <c r="J36" s="27">
        <f>F36-(F36*((MATCH(Table2511[[#This Row],[Evaluators Response (SELECT)]],Table2511[[#This Row],[1]:[11]],0)-1)/(COUNTA(Table2511[[#This Row],[1]:[11]])-COUNTBLANK(Table2511[[#This Row],[1]:[11]])-1)))</f>
        <v>0</v>
      </c>
      <c r="K36" s="28"/>
      <c r="L36" s="41" t="str" cm="1">
        <f t="array" ref="L36">IFERROR(INDEX(_xlfn.UNIQUE(TRIM(_xlfn.TEXTSPLIT(Table2511[[#This Row],[Selection Option]:[Selection Option]],";"))),,L$12),"")</f>
        <v>1. Extensive functionality available</v>
      </c>
      <c r="M36" s="41" t="str" cm="1">
        <f t="array" ref="M36">IFERROR(INDEX(_xlfn.UNIQUE(TRIM(_xlfn.TEXTSPLIT(Table2511[[#This Row],[Selection Option]:[Selection Option]],";"))),,M$12),"")</f>
        <v xml:space="preserve">
2. Limited functionality available</v>
      </c>
      <c r="N36" s="41" t="str" cm="1">
        <f t="array" ref="N36">IFERROR(INDEX(_xlfn.UNIQUE(TRIM(_xlfn.TEXTSPLIT(Table2511[[#This Row],[Selection Option]:[Selection Option]],";"))),,N$12),"")</f>
        <v xml:space="preserve">
3. Functionality not available</v>
      </c>
      <c r="O36" s="41" t="str" cm="1">
        <f t="array" ref="O36">IFERROR(INDEX(_xlfn.UNIQUE(TRIM(_xlfn.TEXTSPLIT(Table2511[[#This Row],[Selection Option]:[Selection Option]],";"))),,O$12),"")</f>
        <v/>
      </c>
      <c r="P36" s="41" t="str" cm="1">
        <f t="array" ref="P36">IFERROR(INDEX(_xlfn.UNIQUE(TRIM(_xlfn.TEXTSPLIT(Table2511[[#This Row],[Selection Option]:[Selection Option]],";"))),,P$12),"")</f>
        <v/>
      </c>
      <c r="Q36" s="41" t="str" cm="1">
        <f t="array" ref="Q36">IFERROR(INDEX(_xlfn.UNIQUE(TRIM(_xlfn.TEXTSPLIT(Table2511[[#This Row],[Selection Option]:[Selection Option]],";"))),,Q$12),"")</f>
        <v/>
      </c>
      <c r="R36" s="41" t="str" cm="1">
        <f t="array" ref="R36">IFERROR(INDEX(_xlfn.UNIQUE(TRIM(_xlfn.TEXTSPLIT(Table2511[[#This Row],[Selection Option]:[Selection Option]],";"))),,R$12),"")</f>
        <v/>
      </c>
      <c r="S36" s="41" t="str" cm="1">
        <f t="array" ref="S36">IFERROR(INDEX(_xlfn.UNIQUE(TRIM(_xlfn.TEXTSPLIT(Table2511[[#This Row],[Selection Option]:[Selection Option]],";"))),,S$12),"")</f>
        <v/>
      </c>
      <c r="T36" s="41" t="str" cm="1">
        <f t="array" ref="T36">IFERROR(INDEX(_xlfn.UNIQUE(TRIM(_xlfn.TEXTSPLIT(Table2511[[#This Row],[Selection Option]:[Selection Option]],";"))),,T$12),"")</f>
        <v/>
      </c>
      <c r="U36" s="41" t="str" cm="1">
        <f t="array" ref="U36">IFERROR(INDEX(_xlfn.UNIQUE(TRIM(_xlfn.TEXTSPLIT(Table2511[[#This Row],[Selection Option]:[Selection Option]],";"))),,U$12),"")</f>
        <v/>
      </c>
      <c r="V36" s="41" t="str" cm="1">
        <f t="array" ref="V36">IFERROR(INDEX(_xlfn.UNIQUE(TRIM(_xlfn.TEXTSPLIT(Table2511[[#This Row],[Selection Option]:[Selection Option]],";"))),,V$12),"")</f>
        <v/>
      </c>
      <c r="W36" s="30" cm="1">
        <f t="array" ref="W36">IF(Table2511[[#This Row],[1]]="","",Table2511[[#This Row],[Weight]:[Weight]]-(Table2511[[#This Row],[Weight]:[Weight]]*((_xlfn.XMATCH(Table2511[[#This Row],[1]],Table2511[[#This Row],[1]:[11]],0))-1)/(COUNTA(Table2511[[#This Row],[1]:[11]])-COUNTBLANK(Table2511[[#This Row],[1]:[11]])-1)))</f>
        <v>2.097902097902098E-2</v>
      </c>
      <c r="X36" s="30" cm="1">
        <f t="array" ref="X36">IF(Table2511[[#This Row],[2]]="","",Table2511[[#This Row],[Weight]:[Weight]]-(Table2511[[#This Row],[Weight]:[Weight]]*((_xlfn.XMATCH(Table2511[[#This Row],[2]],Table2511[[#This Row],[1]:[11]],0))-1)/(COUNTA(Table2511[[#This Row],[1]:[11]])-COUNTBLANK(Table2511[[#This Row],[1]:[11]])-1)))</f>
        <v>1.048951048951049E-2</v>
      </c>
      <c r="Y36" s="30" cm="1">
        <f t="array" ref="Y36">IF(Table2511[[#This Row],[3]]="","",Table2511[[#This Row],[Weight]:[Weight]]-(Table2511[[#This Row],[Weight]:[Weight]]*((_xlfn.XMATCH(Table2511[[#This Row],[3]],Table2511[[#This Row],[1]:[11]],0))-1)/(COUNTA(Table2511[[#This Row],[1]:[11]])-COUNTBLANK(Table2511[[#This Row],[1]:[11]])-1)))</f>
        <v>0</v>
      </c>
      <c r="Z36" s="30" t="str" cm="1">
        <f t="array" ref="Z36">IF(Table2511[[#This Row],[4]]="","",Table2511[[#This Row],[Weight]:[Weight]]-(Table2511[[#This Row],[Weight]:[Weight]]*((_xlfn.XMATCH(Table2511[[#This Row],[4]],Table2511[[#This Row],[1]:[11]],0))-1)/(COUNTA(Table2511[[#This Row],[1]:[11]])-COUNTBLANK(Table2511[[#This Row],[1]:[11]])-1)))</f>
        <v/>
      </c>
      <c r="AA36" s="30" t="str" cm="1">
        <f t="array" ref="AA36">IF(Table2511[[#This Row],[5]]="","",Table2511[[#This Row],[Weight]:[Weight]]-(Table2511[[#This Row],[Weight]:[Weight]]*((_xlfn.XMATCH(Table2511[[#This Row],[5]],Table2511[[#This Row],[1]:[11]],0))-1)/(COUNTA(Table2511[[#This Row],[1]:[11]])-COUNTBLANK(Table2511[[#This Row],[1]:[11]])-1)))</f>
        <v/>
      </c>
      <c r="AB36" s="30" t="str" cm="1">
        <f t="array" ref="AB36">IF(Table2511[[#This Row],[6]]="","",Table2511[[#This Row],[Weight]:[Weight]]-(Table2511[[#This Row],[Weight]:[Weight]]*((_xlfn.XMATCH(Table2511[[#This Row],[6]],Table2511[[#This Row],[1]:[11]],0))-1)/(COUNTA(Table2511[[#This Row],[1]:[11]])-COUNTBLANK(Table2511[[#This Row],[1]:[11]])-1)))</f>
        <v/>
      </c>
      <c r="AC36" s="30" t="str" cm="1">
        <f t="array" ref="AC36">IF(Table2511[[#This Row],[7]]="","",Table2511[[#This Row],[Weight]:[Weight]]-(Table2511[[#This Row],[Weight]:[Weight]]*((_xlfn.XMATCH(Table2511[[#This Row],[7]],Table2511[[#This Row],[1]:[11]],0))-1)/(COUNTA(Table2511[[#This Row],[1]:[11]])-COUNTBLANK(Table2511[[#This Row],[1]:[11]])-1)))</f>
        <v/>
      </c>
      <c r="AD36" s="30" t="str" cm="1">
        <f t="array" ref="AD36">IF(Table2511[[#This Row],[8]]="","",Table2511[[#This Row],[Weight]:[Weight]]-(Table2511[[#This Row],[Weight]:[Weight]]*((_xlfn.XMATCH(Table2511[[#This Row],[8]],Table2511[[#This Row],[1]:[11]],0))-1)/(COUNTA(Table2511[[#This Row],[1]:[11]])-COUNTBLANK(Table2511[[#This Row],[1]:[11]])-1)))</f>
        <v/>
      </c>
      <c r="AE36" s="41" t="str" cm="1">
        <f t="array" ref="AE36">IF(Table2511[[#This Row],[9]]="","",Table2511[[#This Row],[Weight]:[Weight]]-(Table2511[[#This Row],[Weight]:[Weight]]*((_xlfn.XMATCH(Table2511[[#This Row],[9]],Table2511[[#This Row],[1]:[11]],0))-1)/(COUNTA(Table2511[[#This Row],[1]:[11]])-COUNTBLANK(Table2511[[#This Row],[1]:[11]])-1)))</f>
        <v/>
      </c>
      <c r="AF36" s="41" t="str" cm="1">
        <f t="array" ref="AF36">IF(Table2511[[#This Row],[10]]="","",Table2511[[#This Row],[Weight]:[Weight]]-(Table2511[[#This Row],[Weight]:[Weight]]*((_xlfn.XMATCH(Table2511[[#This Row],[10]],Table2511[[#This Row],[1]:[11]],0))-1)/(COUNTA(Table2511[[#This Row],[1]:[11]])-COUNTBLANK(Table2511[[#This Row],[1]:[11]])-1)))</f>
        <v/>
      </c>
      <c r="AG36" s="41" t="str" cm="1">
        <f t="array" ref="AG36">IF(Table2511[[#This Row],[11]]="","",Table2511[[#This Row],[Weight]:[Weight]]-(Table2511[[#This Row],[Weight]:[Weight]]*((_xlfn.XMATCH(Table2511[[#This Row],[11]],Table2511[[#This Row],[1]:[11]],0))-1)/(COUNTA(Table2511[[#This Row],[1]:[11]])-COUNTBLANK(Table2511[[#This Row],[1]:[11]])-1)))</f>
        <v/>
      </c>
    </row>
    <row r="37" spans="1:33" ht="72" x14ac:dyDescent="0.2">
      <c r="A37" s="117" t="s">
        <v>186</v>
      </c>
      <c r="B37" s="183" t="s">
        <v>187</v>
      </c>
      <c r="C37" s="204" t="s">
        <v>188</v>
      </c>
      <c r="D37" s="22" t="s">
        <v>60</v>
      </c>
      <c r="E37" s="23" cm="1">
        <f t="array" ref="E37">_xlfn.IFS(D37="","",D37="No interest",0,D37="Nice to have",1,D37="Useful",2,D37="Important",3,D37="Very important",4,D37="Critical",5,D37="Show stopper",6)</f>
        <v>6</v>
      </c>
      <c r="F37" s="24">
        <f t="shared" si="0"/>
        <v>2.097902097902098E-2</v>
      </c>
      <c r="G37" s="25" t="s">
        <v>403</v>
      </c>
      <c r="H37" s="25" t="str" cm="1">
        <f t="array" ref="H37">_xlfn.TEXTJOIN(" "&amp;CHAR(10),,TEXT(SUBSTITUTE(Table2511[[#This Row],[12]:[22]],".",","),"0,00%"))</f>
        <v>0,020979020979021 
0,0104895104895105 
0,00%</v>
      </c>
      <c r="I37" s="26" t="s">
        <v>404</v>
      </c>
      <c r="J37" s="27">
        <f>F37-(F37*((MATCH(Table2511[[#This Row],[Evaluators Response (SELECT)]],Table2511[[#This Row],[1]:[11]],0)-1)/(COUNTA(Table2511[[#This Row],[1]:[11]])-COUNTBLANK(Table2511[[#This Row],[1]:[11]])-1)))</f>
        <v>0</v>
      </c>
      <c r="K37" s="28"/>
      <c r="L37" s="41" t="str" cm="1">
        <f t="array" ref="L37">IFERROR(INDEX(_xlfn.UNIQUE(TRIM(_xlfn.TEXTSPLIT(Table2511[[#This Row],[Selection Option]:[Selection Option]],";"))),,L$12),"")</f>
        <v>1. Extensive functionality available</v>
      </c>
      <c r="M37" s="41" t="str" cm="1">
        <f t="array" ref="M37">IFERROR(INDEX(_xlfn.UNIQUE(TRIM(_xlfn.TEXTSPLIT(Table2511[[#This Row],[Selection Option]:[Selection Option]],";"))),,M$12),"")</f>
        <v xml:space="preserve">
2. Limited functionality available</v>
      </c>
      <c r="N37" s="41" t="str" cm="1">
        <f t="array" ref="N37">IFERROR(INDEX(_xlfn.UNIQUE(TRIM(_xlfn.TEXTSPLIT(Table2511[[#This Row],[Selection Option]:[Selection Option]],";"))),,N$12),"")</f>
        <v xml:space="preserve">
3. Functionality not available</v>
      </c>
      <c r="O37" s="41" t="str" cm="1">
        <f t="array" ref="O37">IFERROR(INDEX(_xlfn.UNIQUE(TRIM(_xlfn.TEXTSPLIT(Table2511[[#This Row],[Selection Option]:[Selection Option]],";"))),,O$12),"")</f>
        <v/>
      </c>
      <c r="P37" s="41" t="str" cm="1">
        <f t="array" ref="P37">IFERROR(INDEX(_xlfn.UNIQUE(TRIM(_xlfn.TEXTSPLIT(Table2511[[#This Row],[Selection Option]:[Selection Option]],";"))),,P$12),"")</f>
        <v/>
      </c>
      <c r="Q37" s="41" t="str" cm="1">
        <f t="array" ref="Q37">IFERROR(INDEX(_xlfn.UNIQUE(TRIM(_xlfn.TEXTSPLIT(Table2511[[#This Row],[Selection Option]:[Selection Option]],";"))),,Q$12),"")</f>
        <v/>
      </c>
      <c r="R37" s="41" t="str" cm="1">
        <f t="array" ref="R37">IFERROR(INDEX(_xlfn.UNIQUE(TRIM(_xlfn.TEXTSPLIT(Table2511[[#This Row],[Selection Option]:[Selection Option]],";"))),,R$12),"")</f>
        <v/>
      </c>
      <c r="S37" s="41" t="str" cm="1">
        <f t="array" ref="S37">IFERROR(INDEX(_xlfn.UNIQUE(TRIM(_xlfn.TEXTSPLIT(Table2511[[#This Row],[Selection Option]:[Selection Option]],";"))),,S$12),"")</f>
        <v/>
      </c>
      <c r="T37" s="41" t="str" cm="1">
        <f t="array" ref="T37">IFERROR(INDEX(_xlfn.UNIQUE(TRIM(_xlfn.TEXTSPLIT(Table2511[[#This Row],[Selection Option]:[Selection Option]],";"))),,T$12),"")</f>
        <v/>
      </c>
      <c r="U37" s="41" t="str" cm="1">
        <f t="array" ref="U37">IFERROR(INDEX(_xlfn.UNIQUE(TRIM(_xlfn.TEXTSPLIT(Table2511[[#This Row],[Selection Option]:[Selection Option]],";"))),,U$12),"")</f>
        <v/>
      </c>
      <c r="V37" s="41" t="str" cm="1">
        <f t="array" ref="V37">IFERROR(INDEX(_xlfn.UNIQUE(TRIM(_xlfn.TEXTSPLIT(Table2511[[#This Row],[Selection Option]:[Selection Option]],";"))),,V$12),"")</f>
        <v/>
      </c>
      <c r="W37" s="30" cm="1">
        <f t="array" ref="W37">IF(Table2511[[#This Row],[1]]="","",Table2511[[#This Row],[Weight]:[Weight]]-(Table2511[[#This Row],[Weight]:[Weight]]*((_xlfn.XMATCH(Table2511[[#This Row],[1]],Table2511[[#This Row],[1]:[11]],0))-1)/(COUNTA(Table2511[[#This Row],[1]:[11]])-COUNTBLANK(Table2511[[#This Row],[1]:[11]])-1)))</f>
        <v>2.097902097902098E-2</v>
      </c>
      <c r="X37" s="30" cm="1">
        <f t="array" ref="X37">IF(Table2511[[#This Row],[2]]="","",Table2511[[#This Row],[Weight]:[Weight]]-(Table2511[[#This Row],[Weight]:[Weight]]*((_xlfn.XMATCH(Table2511[[#This Row],[2]],Table2511[[#This Row],[1]:[11]],0))-1)/(COUNTA(Table2511[[#This Row],[1]:[11]])-COUNTBLANK(Table2511[[#This Row],[1]:[11]])-1)))</f>
        <v>1.048951048951049E-2</v>
      </c>
      <c r="Y37" s="30" cm="1">
        <f t="array" ref="Y37">IF(Table2511[[#This Row],[3]]="","",Table2511[[#This Row],[Weight]:[Weight]]-(Table2511[[#This Row],[Weight]:[Weight]]*((_xlfn.XMATCH(Table2511[[#This Row],[3]],Table2511[[#This Row],[1]:[11]],0))-1)/(COUNTA(Table2511[[#This Row],[1]:[11]])-COUNTBLANK(Table2511[[#This Row],[1]:[11]])-1)))</f>
        <v>0</v>
      </c>
      <c r="Z37" s="30" t="str" cm="1">
        <f t="array" ref="Z37">IF(Table2511[[#This Row],[4]]="","",Table2511[[#This Row],[Weight]:[Weight]]-(Table2511[[#This Row],[Weight]:[Weight]]*((_xlfn.XMATCH(Table2511[[#This Row],[4]],Table2511[[#This Row],[1]:[11]],0))-1)/(COUNTA(Table2511[[#This Row],[1]:[11]])-COUNTBLANK(Table2511[[#This Row],[1]:[11]])-1)))</f>
        <v/>
      </c>
      <c r="AA37" s="30" t="str" cm="1">
        <f t="array" ref="AA37">IF(Table2511[[#This Row],[5]]="","",Table2511[[#This Row],[Weight]:[Weight]]-(Table2511[[#This Row],[Weight]:[Weight]]*((_xlfn.XMATCH(Table2511[[#This Row],[5]],Table2511[[#This Row],[1]:[11]],0))-1)/(COUNTA(Table2511[[#This Row],[1]:[11]])-COUNTBLANK(Table2511[[#This Row],[1]:[11]])-1)))</f>
        <v/>
      </c>
      <c r="AB37" s="30" t="str" cm="1">
        <f t="array" ref="AB37">IF(Table2511[[#This Row],[6]]="","",Table2511[[#This Row],[Weight]:[Weight]]-(Table2511[[#This Row],[Weight]:[Weight]]*((_xlfn.XMATCH(Table2511[[#This Row],[6]],Table2511[[#This Row],[1]:[11]],0))-1)/(COUNTA(Table2511[[#This Row],[1]:[11]])-COUNTBLANK(Table2511[[#This Row],[1]:[11]])-1)))</f>
        <v/>
      </c>
      <c r="AC37" s="30" t="str" cm="1">
        <f t="array" ref="AC37">IF(Table2511[[#This Row],[7]]="","",Table2511[[#This Row],[Weight]:[Weight]]-(Table2511[[#This Row],[Weight]:[Weight]]*((_xlfn.XMATCH(Table2511[[#This Row],[7]],Table2511[[#This Row],[1]:[11]],0))-1)/(COUNTA(Table2511[[#This Row],[1]:[11]])-COUNTBLANK(Table2511[[#This Row],[1]:[11]])-1)))</f>
        <v/>
      </c>
      <c r="AD37" s="30" t="str" cm="1">
        <f t="array" ref="AD37">IF(Table2511[[#This Row],[8]]="","",Table2511[[#This Row],[Weight]:[Weight]]-(Table2511[[#This Row],[Weight]:[Weight]]*((_xlfn.XMATCH(Table2511[[#This Row],[8]],Table2511[[#This Row],[1]:[11]],0))-1)/(COUNTA(Table2511[[#This Row],[1]:[11]])-COUNTBLANK(Table2511[[#This Row],[1]:[11]])-1)))</f>
        <v/>
      </c>
      <c r="AE37" s="41" t="str" cm="1">
        <f t="array" ref="AE37">IF(Table2511[[#This Row],[9]]="","",Table2511[[#This Row],[Weight]:[Weight]]-(Table2511[[#This Row],[Weight]:[Weight]]*((_xlfn.XMATCH(Table2511[[#This Row],[9]],Table2511[[#This Row],[1]:[11]],0))-1)/(COUNTA(Table2511[[#This Row],[1]:[11]])-COUNTBLANK(Table2511[[#This Row],[1]:[11]])-1)))</f>
        <v/>
      </c>
      <c r="AF37" s="41" t="str" cm="1">
        <f t="array" ref="AF37">IF(Table2511[[#This Row],[10]]="","",Table2511[[#This Row],[Weight]:[Weight]]-(Table2511[[#This Row],[Weight]:[Weight]]*((_xlfn.XMATCH(Table2511[[#This Row],[10]],Table2511[[#This Row],[1]:[11]],0))-1)/(COUNTA(Table2511[[#This Row],[1]:[11]])-COUNTBLANK(Table2511[[#This Row],[1]:[11]])-1)))</f>
        <v/>
      </c>
      <c r="AG37" s="41" t="str" cm="1">
        <f t="array" ref="AG37">IF(Table2511[[#This Row],[11]]="","",Table2511[[#This Row],[Weight]:[Weight]]-(Table2511[[#This Row],[Weight]:[Weight]]*((_xlfn.XMATCH(Table2511[[#This Row],[11]],Table2511[[#This Row],[1]:[11]],0))-1)/(COUNTA(Table2511[[#This Row],[1]:[11]])-COUNTBLANK(Table2511[[#This Row],[1]:[11]])-1)))</f>
        <v/>
      </c>
    </row>
    <row r="38" spans="1:33" ht="72" x14ac:dyDescent="0.2">
      <c r="A38" s="117" t="s">
        <v>189</v>
      </c>
      <c r="B38" s="183" t="s">
        <v>190</v>
      </c>
      <c r="C38" s="204" t="s">
        <v>191</v>
      </c>
      <c r="D38" s="22" t="s">
        <v>60</v>
      </c>
      <c r="E38" s="23" cm="1">
        <f t="array" ref="E38">_xlfn.IFS(D38="","",D38="No interest",0,D38="Nice to have",1,D38="Useful",2,D38="Important",3,D38="Very important",4,D38="Critical",5,D38="Show stopper",6)</f>
        <v>6</v>
      </c>
      <c r="F38" s="24">
        <f t="shared" si="0"/>
        <v>2.097902097902098E-2</v>
      </c>
      <c r="G38" s="25" t="s">
        <v>403</v>
      </c>
      <c r="H38" s="25" t="str" cm="1">
        <f t="array" ref="H38">_xlfn.TEXTJOIN(" "&amp;CHAR(10),,TEXT(SUBSTITUTE(Table2511[[#This Row],[12]:[22]],".",","),"0,00%"))</f>
        <v>0,020979020979021 
0,0104895104895105 
0,00%</v>
      </c>
      <c r="I38" s="26" t="s">
        <v>404</v>
      </c>
      <c r="J38" s="27">
        <f>F38-(F38*((MATCH(Table2511[[#This Row],[Evaluators Response (SELECT)]],Table2511[[#This Row],[1]:[11]],0)-1)/(COUNTA(Table2511[[#This Row],[1]:[11]])-COUNTBLANK(Table2511[[#This Row],[1]:[11]])-1)))</f>
        <v>0</v>
      </c>
      <c r="K38" s="28"/>
      <c r="L38" s="41" t="str" cm="1">
        <f t="array" ref="L38">IFERROR(INDEX(_xlfn.UNIQUE(TRIM(_xlfn.TEXTSPLIT(Table2511[[#This Row],[Selection Option]:[Selection Option]],";"))),,L$12),"")</f>
        <v>1. Extensive functionality available</v>
      </c>
      <c r="M38" s="41" t="str" cm="1">
        <f t="array" ref="M38">IFERROR(INDEX(_xlfn.UNIQUE(TRIM(_xlfn.TEXTSPLIT(Table2511[[#This Row],[Selection Option]:[Selection Option]],";"))),,M$12),"")</f>
        <v xml:space="preserve">
2. Limited functionality available</v>
      </c>
      <c r="N38" s="41" t="str" cm="1">
        <f t="array" ref="N38">IFERROR(INDEX(_xlfn.UNIQUE(TRIM(_xlfn.TEXTSPLIT(Table2511[[#This Row],[Selection Option]:[Selection Option]],";"))),,N$12),"")</f>
        <v xml:space="preserve">
3. Functionality not available</v>
      </c>
      <c r="O38" s="41" t="str" cm="1">
        <f t="array" ref="O38">IFERROR(INDEX(_xlfn.UNIQUE(TRIM(_xlfn.TEXTSPLIT(Table2511[[#This Row],[Selection Option]:[Selection Option]],";"))),,O$12),"")</f>
        <v/>
      </c>
      <c r="P38" s="41" t="str" cm="1">
        <f t="array" ref="P38">IFERROR(INDEX(_xlfn.UNIQUE(TRIM(_xlfn.TEXTSPLIT(Table2511[[#This Row],[Selection Option]:[Selection Option]],";"))),,P$12),"")</f>
        <v/>
      </c>
      <c r="Q38" s="41" t="str" cm="1">
        <f t="array" ref="Q38">IFERROR(INDEX(_xlfn.UNIQUE(TRIM(_xlfn.TEXTSPLIT(Table2511[[#This Row],[Selection Option]:[Selection Option]],";"))),,Q$12),"")</f>
        <v/>
      </c>
      <c r="R38" s="41" t="str" cm="1">
        <f t="array" ref="R38">IFERROR(INDEX(_xlfn.UNIQUE(TRIM(_xlfn.TEXTSPLIT(Table2511[[#This Row],[Selection Option]:[Selection Option]],";"))),,R$12),"")</f>
        <v/>
      </c>
      <c r="S38" s="41" t="str" cm="1">
        <f t="array" ref="S38">IFERROR(INDEX(_xlfn.UNIQUE(TRIM(_xlfn.TEXTSPLIT(Table2511[[#This Row],[Selection Option]:[Selection Option]],";"))),,S$12),"")</f>
        <v/>
      </c>
      <c r="T38" s="41" t="str" cm="1">
        <f t="array" ref="T38">IFERROR(INDEX(_xlfn.UNIQUE(TRIM(_xlfn.TEXTSPLIT(Table2511[[#This Row],[Selection Option]:[Selection Option]],";"))),,T$12),"")</f>
        <v/>
      </c>
      <c r="U38" s="41" t="str" cm="1">
        <f t="array" ref="U38">IFERROR(INDEX(_xlfn.UNIQUE(TRIM(_xlfn.TEXTSPLIT(Table2511[[#This Row],[Selection Option]:[Selection Option]],";"))),,U$12),"")</f>
        <v/>
      </c>
      <c r="V38" s="41" t="str" cm="1">
        <f t="array" ref="V38">IFERROR(INDEX(_xlfn.UNIQUE(TRIM(_xlfn.TEXTSPLIT(Table2511[[#This Row],[Selection Option]:[Selection Option]],";"))),,V$12),"")</f>
        <v/>
      </c>
      <c r="W38" s="30" cm="1">
        <f t="array" ref="W38">IF(Table2511[[#This Row],[1]]="","",Table2511[[#This Row],[Weight]:[Weight]]-(Table2511[[#This Row],[Weight]:[Weight]]*((_xlfn.XMATCH(Table2511[[#This Row],[1]],Table2511[[#This Row],[1]:[11]],0))-1)/(COUNTA(Table2511[[#This Row],[1]:[11]])-COUNTBLANK(Table2511[[#This Row],[1]:[11]])-1)))</f>
        <v>2.097902097902098E-2</v>
      </c>
      <c r="X38" s="30" cm="1">
        <f t="array" ref="X38">IF(Table2511[[#This Row],[2]]="","",Table2511[[#This Row],[Weight]:[Weight]]-(Table2511[[#This Row],[Weight]:[Weight]]*((_xlfn.XMATCH(Table2511[[#This Row],[2]],Table2511[[#This Row],[1]:[11]],0))-1)/(COUNTA(Table2511[[#This Row],[1]:[11]])-COUNTBLANK(Table2511[[#This Row],[1]:[11]])-1)))</f>
        <v>1.048951048951049E-2</v>
      </c>
      <c r="Y38" s="30" cm="1">
        <f t="array" ref="Y38">IF(Table2511[[#This Row],[3]]="","",Table2511[[#This Row],[Weight]:[Weight]]-(Table2511[[#This Row],[Weight]:[Weight]]*((_xlfn.XMATCH(Table2511[[#This Row],[3]],Table2511[[#This Row],[1]:[11]],0))-1)/(COUNTA(Table2511[[#This Row],[1]:[11]])-COUNTBLANK(Table2511[[#This Row],[1]:[11]])-1)))</f>
        <v>0</v>
      </c>
      <c r="Z38" s="30" t="str" cm="1">
        <f t="array" ref="Z38">IF(Table2511[[#This Row],[4]]="","",Table2511[[#This Row],[Weight]:[Weight]]-(Table2511[[#This Row],[Weight]:[Weight]]*((_xlfn.XMATCH(Table2511[[#This Row],[4]],Table2511[[#This Row],[1]:[11]],0))-1)/(COUNTA(Table2511[[#This Row],[1]:[11]])-COUNTBLANK(Table2511[[#This Row],[1]:[11]])-1)))</f>
        <v/>
      </c>
      <c r="AA38" s="30" t="str" cm="1">
        <f t="array" ref="AA38">IF(Table2511[[#This Row],[5]]="","",Table2511[[#This Row],[Weight]:[Weight]]-(Table2511[[#This Row],[Weight]:[Weight]]*((_xlfn.XMATCH(Table2511[[#This Row],[5]],Table2511[[#This Row],[1]:[11]],0))-1)/(COUNTA(Table2511[[#This Row],[1]:[11]])-COUNTBLANK(Table2511[[#This Row],[1]:[11]])-1)))</f>
        <v/>
      </c>
      <c r="AB38" s="30" t="str" cm="1">
        <f t="array" ref="AB38">IF(Table2511[[#This Row],[6]]="","",Table2511[[#This Row],[Weight]:[Weight]]-(Table2511[[#This Row],[Weight]:[Weight]]*((_xlfn.XMATCH(Table2511[[#This Row],[6]],Table2511[[#This Row],[1]:[11]],0))-1)/(COUNTA(Table2511[[#This Row],[1]:[11]])-COUNTBLANK(Table2511[[#This Row],[1]:[11]])-1)))</f>
        <v/>
      </c>
      <c r="AC38" s="30" t="str" cm="1">
        <f t="array" ref="AC38">IF(Table2511[[#This Row],[7]]="","",Table2511[[#This Row],[Weight]:[Weight]]-(Table2511[[#This Row],[Weight]:[Weight]]*((_xlfn.XMATCH(Table2511[[#This Row],[7]],Table2511[[#This Row],[1]:[11]],0))-1)/(COUNTA(Table2511[[#This Row],[1]:[11]])-COUNTBLANK(Table2511[[#This Row],[1]:[11]])-1)))</f>
        <v/>
      </c>
      <c r="AD38" s="30" t="str" cm="1">
        <f t="array" ref="AD38">IF(Table2511[[#This Row],[8]]="","",Table2511[[#This Row],[Weight]:[Weight]]-(Table2511[[#This Row],[Weight]:[Weight]]*((_xlfn.XMATCH(Table2511[[#This Row],[8]],Table2511[[#This Row],[1]:[11]],0))-1)/(COUNTA(Table2511[[#This Row],[1]:[11]])-COUNTBLANK(Table2511[[#This Row],[1]:[11]])-1)))</f>
        <v/>
      </c>
      <c r="AE38" s="41" t="str" cm="1">
        <f t="array" ref="AE38">IF(Table2511[[#This Row],[9]]="","",Table2511[[#This Row],[Weight]:[Weight]]-(Table2511[[#This Row],[Weight]:[Weight]]*((_xlfn.XMATCH(Table2511[[#This Row],[9]],Table2511[[#This Row],[1]:[11]],0))-1)/(COUNTA(Table2511[[#This Row],[1]:[11]])-COUNTBLANK(Table2511[[#This Row],[1]:[11]])-1)))</f>
        <v/>
      </c>
      <c r="AF38" s="41" t="str" cm="1">
        <f t="array" ref="AF38">IF(Table2511[[#This Row],[10]]="","",Table2511[[#This Row],[Weight]:[Weight]]-(Table2511[[#This Row],[Weight]:[Weight]]*((_xlfn.XMATCH(Table2511[[#This Row],[10]],Table2511[[#This Row],[1]:[11]],0))-1)/(COUNTA(Table2511[[#This Row],[1]:[11]])-COUNTBLANK(Table2511[[#This Row],[1]:[11]])-1)))</f>
        <v/>
      </c>
      <c r="AG38" s="41" t="str" cm="1">
        <f t="array" ref="AG38">IF(Table2511[[#This Row],[11]]="","",Table2511[[#This Row],[Weight]:[Weight]]-(Table2511[[#This Row],[Weight]:[Weight]]*((_xlfn.XMATCH(Table2511[[#This Row],[11]],Table2511[[#This Row],[1]:[11]],0))-1)/(COUNTA(Table2511[[#This Row],[1]:[11]])-COUNTBLANK(Table2511[[#This Row],[1]:[11]])-1)))</f>
        <v/>
      </c>
    </row>
    <row r="39" spans="1:33" ht="72" x14ac:dyDescent="0.2">
      <c r="A39" s="117" t="s">
        <v>192</v>
      </c>
      <c r="B39" s="183" t="s">
        <v>193</v>
      </c>
      <c r="C39" s="204" t="s">
        <v>194</v>
      </c>
      <c r="D39" s="22" t="s">
        <v>60</v>
      </c>
      <c r="E39" s="23" cm="1">
        <f t="array" ref="E39">_xlfn.IFS(D39="","",D39="No interest",0,D39="Nice to have",1,D39="Useful",2,D39="Important",3,D39="Very important",4,D39="Critical",5,D39="Show stopper",6)</f>
        <v>6</v>
      </c>
      <c r="F39" s="24">
        <f t="shared" si="0"/>
        <v>2.097902097902098E-2</v>
      </c>
      <c r="G39" s="25" t="s">
        <v>403</v>
      </c>
      <c r="H39" s="25" t="str" cm="1">
        <f t="array" ref="H39">_xlfn.TEXTJOIN(" "&amp;CHAR(10),,TEXT(SUBSTITUTE(Table2511[[#This Row],[12]:[22]],".",","),"0,00%"))</f>
        <v>0,020979020979021 
0,0104895104895105 
0,00%</v>
      </c>
      <c r="I39" s="26" t="s">
        <v>404</v>
      </c>
      <c r="J39" s="27">
        <f>F39-(F39*((MATCH(Table2511[[#This Row],[Evaluators Response (SELECT)]],Table2511[[#This Row],[1]:[11]],0)-1)/(COUNTA(Table2511[[#This Row],[1]:[11]])-COUNTBLANK(Table2511[[#This Row],[1]:[11]])-1)))</f>
        <v>0</v>
      </c>
      <c r="K39" s="28"/>
      <c r="L39" s="41" t="str" cm="1">
        <f t="array" ref="L39">IFERROR(INDEX(_xlfn.UNIQUE(TRIM(_xlfn.TEXTSPLIT(Table2511[[#This Row],[Selection Option]:[Selection Option]],";"))),,L$12),"")</f>
        <v>1. Extensive functionality available</v>
      </c>
      <c r="M39" s="41" t="str" cm="1">
        <f t="array" ref="M39">IFERROR(INDEX(_xlfn.UNIQUE(TRIM(_xlfn.TEXTSPLIT(Table2511[[#This Row],[Selection Option]:[Selection Option]],";"))),,M$12),"")</f>
        <v xml:space="preserve">
2. Limited functionality available</v>
      </c>
      <c r="N39" s="41" t="str" cm="1">
        <f t="array" ref="N39">IFERROR(INDEX(_xlfn.UNIQUE(TRIM(_xlfn.TEXTSPLIT(Table2511[[#This Row],[Selection Option]:[Selection Option]],";"))),,N$12),"")</f>
        <v xml:space="preserve">
3. Functionality not available</v>
      </c>
      <c r="O39" s="41" t="str" cm="1">
        <f t="array" ref="O39">IFERROR(INDEX(_xlfn.UNIQUE(TRIM(_xlfn.TEXTSPLIT(Table2511[[#This Row],[Selection Option]:[Selection Option]],";"))),,O$12),"")</f>
        <v/>
      </c>
      <c r="P39" s="41" t="str" cm="1">
        <f t="array" ref="P39">IFERROR(INDEX(_xlfn.UNIQUE(TRIM(_xlfn.TEXTSPLIT(Table2511[[#This Row],[Selection Option]:[Selection Option]],";"))),,P$12),"")</f>
        <v/>
      </c>
      <c r="Q39" s="41" t="str" cm="1">
        <f t="array" ref="Q39">IFERROR(INDEX(_xlfn.UNIQUE(TRIM(_xlfn.TEXTSPLIT(Table2511[[#This Row],[Selection Option]:[Selection Option]],";"))),,Q$12),"")</f>
        <v/>
      </c>
      <c r="R39" s="41" t="str" cm="1">
        <f t="array" ref="R39">IFERROR(INDEX(_xlfn.UNIQUE(TRIM(_xlfn.TEXTSPLIT(Table2511[[#This Row],[Selection Option]:[Selection Option]],";"))),,R$12),"")</f>
        <v/>
      </c>
      <c r="S39" s="41" t="str" cm="1">
        <f t="array" ref="S39">IFERROR(INDEX(_xlfn.UNIQUE(TRIM(_xlfn.TEXTSPLIT(Table2511[[#This Row],[Selection Option]:[Selection Option]],";"))),,S$12),"")</f>
        <v/>
      </c>
      <c r="T39" s="41" t="str" cm="1">
        <f t="array" ref="T39">IFERROR(INDEX(_xlfn.UNIQUE(TRIM(_xlfn.TEXTSPLIT(Table2511[[#This Row],[Selection Option]:[Selection Option]],";"))),,T$12),"")</f>
        <v/>
      </c>
      <c r="U39" s="41" t="str" cm="1">
        <f t="array" ref="U39">IFERROR(INDEX(_xlfn.UNIQUE(TRIM(_xlfn.TEXTSPLIT(Table2511[[#This Row],[Selection Option]:[Selection Option]],";"))),,U$12),"")</f>
        <v/>
      </c>
      <c r="V39" s="41" t="str" cm="1">
        <f t="array" ref="V39">IFERROR(INDEX(_xlfn.UNIQUE(TRIM(_xlfn.TEXTSPLIT(Table2511[[#This Row],[Selection Option]:[Selection Option]],";"))),,V$12),"")</f>
        <v/>
      </c>
      <c r="W39" s="30" cm="1">
        <f t="array" ref="W39">IF(Table2511[[#This Row],[1]]="","",Table2511[[#This Row],[Weight]:[Weight]]-(Table2511[[#This Row],[Weight]:[Weight]]*((_xlfn.XMATCH(Table2511[[#This Row],[1]],Table2511[[#This Row],[1]:[11]],0))-1)/(COUNTA(Table2511[[#This Row],[1]:[11]])-COUNTBLANK(Table2511[[#This Row],[1]:[11]])-1)))</f>
        <v>2.097902097902098E-2</v>
      </c>
      <c r="X39" s="30" cm="1">
        <f t="array" ref="X39">IF(Table2511[[#This Row],[2]]="","",Table2511[[#This Row],[Weight]:[Weight]]-(Table2511[[#This Row],[Weight]:[Weight]]*((_xlfn.XMATCH(Table2511[[#This Row],[2]],Table2511[[#This Row],[1]:[11]],0))-1)/(COUNTA(Table2511[[#This Row],[1]:[11]])-COUNTBLANK(Table2511[[#This Row],[1]:[11]])-1)))</f>
        <v>1.048951048951049E-2</v>
      </c>
      <c r="Y39" s="30" cm="1">
        <f t="array" ref="Y39">IF(Table2511[[#This Row],[3]]="","",Table2511[[#This Row],[Weight]:[Weight]]-(Table2511[[#This Row],[Weight]:[Weight]]*((_xlfn.XMATCH(Table2511[[#This Row],[3]],Table2511[[#This Row],[1]:[11]],0))-1)/(COUNTA(Table2511[[#This Row],[1]:[11]])-COUNTBLANK(Table2511[[#This Row],[1]:[11]])-1)))</f>
        <v>0</v>
      </c>
      <c r="Z39" s="30" t="str" cm="1">
        <f t="array" ref="Z39">IF(Table2511[[#This Row],[4]]="","",Table2511[[#This Row],[Weight]:[Weight]]-(Table2511[[#This Row],[Weight]:[Weight]]*((_xlfn.XMATCH(Table2511[[#This Row],[4]],Table2511[[#This Row],[1]:[11]],0))-1)/(COUNTA(Table2511[[#This Row],[1]:[11]])-COUNTBLANK(Table2511[[#This Row],[1]:[11]])-1)))</f>
        <v/>
      </c>
      <c r="AA39" s="30" t="str" cm="1">
        <f t="array" ref="AA39">IF(Table2511[[#This Row],[5]]="","",Table2511[[#This Row],[Weight]:[Weight]]-(Table2511[[#This Row],[Weight]:[Weight]]*((_xlfn.XMATCH(Table2511[[#This Row],[5]],Table2511[[#This Row],[1]:[11]],0))-1)/(COUNTA(Table2511[[#This Row],[1]:[11]])-COUNTBLANK(Table2511[[#This Row],[1]:[11]])-1)))</f>
        <v/>
      </c>
      <c r="AB39" s="30" t="str" cm="1">
        <f t="array" ref="AB39">IF(Table2511[[#This Row],[6]]="","",Table2511[[#This Row],[Weight]:[Weight]]-(Table2511[[#This Row],[Weight]:[Weight]]*((_xlfn.XMATCH(Table2511[[#This Row],[6]],Table2511[[#This Row],[1]:[11]],0))-1)/(COUNTA(Table2511[[#This Row],[1]:[11]])-COUNTBLANK(Table2511[[#This Row],[1]:[11]])-1)))</f>
        <v/>
      </c>
      <c r="AC39" s="30" t="str" cm="1">
        <f t="array" ref="AC39">IF(Table2511[[#This Row],[7]]="","",Table2511[[#This Row],[Weight]:[Weight]]-(Table2511[[#This Row],[Weight]:[Weight]]*((_xlfn.XMATCH(Table2511[[#This Row],[7]],Table2511[[#This Row],[1]:[11]],0))-1)/(COUNTA(Table2511[[#This Row],[1]:[11]])-COUNTBLANK(Table2511[[#This Row],[1]:[11]])-1)))</f>
        <v/>
      </c>
      <c r="AD39" s="30" t="str" cm="1">
        <f t="array" ref="AD39">IF(Table2511[[#This Row],[8]]="","",Table2511[[#This Row],[Weight]:[Weight]]-(Table2511[[#This Row],[Weight]:[Weight]]*((_xlfn.XMATCH(Table2511[[#This Row],[8]],Table2511[[#This Row],[1]:[11]],0))-1)/(COUNTA(Table2511[[#This Row],[1]:[11]])-COUNTBLANK(Table2511[[#This Row],[1]:[11]])-1)))</f>
        <v/>
      </c>
      <c r="AE39" s="41" t="str" cm="1">
        <f t="array" ref="AE39">IF(Table2511[[#This Row],[9]]="","",Table2511[[#This Row],[Weight]:[Weight]]-(Table2511[[#This Row],[Weight]:[Weight]]*((_xlfn.XMATCH(Table2511[[#This Row],[9]],Table2511[[#This Row],[1]:[11]],0))-1)/(COUNTA(Table2511[[#This Row],[1]:[11]])-COUNTBLANK(Table2511[[#This Row],[1]:[11]])-1)))</f>
        <v/>
      </c>
      <c r="AF39" s="41" t="str" cm="1">
        <f t="array" ref="AF39">IF(Table2511[[#This Row],[10]]="","",Table2511[[#This Row],[Weight]:[Weight]]-(Table2511[[#This Row],[Weight]:[Weight]]*((_xlfn.XMATCH(Table2511[[#This Row],[10]],Table2511[[#This Row],[1]:[11]],0))-1)/(COUNTA(Table2511[[#This Row],[1]:[11]])-COUNTBLANK(Table2511[[#This Row],[1]:[11]])-1)))</f>
        <v/>
      </c>
      <c r="AG39" s="41" t="str" cm="1">
        <f t="array" ref="AG39">IF(Table2511[[#This Row],[11]]="","",Table2511[[#This Row],[Weight]:[Weight]]-(Table2511[[#This Row],[Weight]:[Weight]]*((_xlfn.XMATCH(Table2511[[#This Row],[11]],Table2511[[#This Row],[1]:[11]],0))-1)/(COUNTA(Table2511[[#This Row],[1]:[11]])-COUNTBLANK(Table2511[[#This Row],[1]:[11]])-1)))</f>
        <v/>
      </c>
    </row>
    <row r="40" spans="1:33" ht="72" x14ac:dyDescent="0.2">
      <c r="A40" s="117" t="s">
        <v>195</v>
      </c>
      <c r="B40" s="183" t="s">
        <v>196</v>
      </c>
      <c r="C40" s="204" t="s">
        <v>197</v>
      </c>
      <c r="D40" s="22" t="s">
        <v>60</v>
      </c>
      <c r="E40" s="23" cm="1">
        <f t="array" ref="E40">_xlfn.IFS(D40="","",D40="No interest",0,D40="Nice to have",1,D40="Useful",2,D40="Important",3,D40="Very important",4,D40="Critical",5,D40="Show stopper",6)</f>
        <v>6</v>
      </c>
      <c r="F40" s="24">
        <f t="shared" si="0"/>
        <v>2.097902097902098E-2</v>
      </c>
      <c r="G40" s="25" t="s">
        <v>403</v>
      </c>
      <c r="H40" s="25" t="str" cm="1">
        <f t="array" ref="H40">_xlfn.TEXTJOIN(" "&amp;CHAR(10),,TEXT(SUBSTITUTE(Table2511[[#This Row],[12]:[22]],".",","),"0,00%"))</f>
        <v>0,020979020979021 
0,0104895104895105 
0,00%</v>
      </c>
      <c r="I40" s="26" t="s">
        <v>404</v>
      </c>
      <c r="J40" s="27">
        <f>F40-(F40*((MATCH(Table2511[[#This Row],[Evaluators Response (SELECT)]],Table2511[[#This Row],[1]:[11]],0)-1)/(COUNTA(Table2511[[#This Row],[1]:[11]])-COUNTBLANK(Table2511[[#This Row],[1]:[11]])-1)))</f>
        <v>0</v>
      </c>
      <c r="K40" s="28"/>
      <c r="L40" s="41" t="str" cm="1">
        <f t="array" ref="L40">IFERROR(INDEX(_xlfn.UNIQUE(TRIM(_xlfn.TEXTSPLIT(Table2511[[#This Row],[Selection Option]:[Selection Option]],";"))),,L$12),"")</f>
        <v>1. Extensive functionality available</v>
      </c>
      <c r="M40" s="41" t="str" cm="1">
        <f t="array" ref="M40">IFERROR(INDEX(_xlfn.UNIQUE(TRIM(_xlfn.TEXTSPLIT(Table2511[[#This Row],[Selection Option]:[Selection Option]],";"))),,M$12),"")</f>
        <v xml:space="preserve">
2. Limited functionality available</v>
      </c>
      <c r="N40" s="41" t="str" cm="1">
        <f t="array" ref="N40">IFERROR(INDEX(_xlfn.UNIQUE(TRIM(_xlfn.TEXTSPLIT(Table2511[[#This Row],[Selection Option]:[Selection Option]],";"))),,N$12),"")</f>
        <v xml:space="preserve">
3. Functionality not available</v>
      </c>
      <c r="O40" s="41" t="str" cm="1">
        <f t="array" ref="O40">IFERROR(INDEX(_xlfn.UNIQUE(TRIM(_xlfn.TEXTSPLIT(Table2511[[#This Row],[Selection Option]:[Selection Option]],";"))),,O$12),"")</f>
        <v/>
      </c>
      <c r="P40" s="41" t="str" cm="1">
        <f t="array" ref="P40">IFERROR(INDEX(_xlfn.UNIQUE(TRIM(_xlfn.TEXTSPLIT(Table2511[[#This Row],[Selection Option]:[Selection Option]],";"))),,P$12),"")</f>
        <v/>
      </c>
      <c r="Q40" s="41" t="str" cm="1">
        <f t="array" ref="Q40">IFERROR(INDEX(_xlfn.UNIQUE(TRIM(_xlfn.TEXTSPLIT(Table2511[[#This Row],[Selection Option]:[Selection Option]],";"))),,Q$12),"")</f>
        <v/>
      </c>
      <c r="R40" s="41" t="str" cm="1">
        <f t="array" ref="R40">IFERROR(INDEX(_xlfn.UNIQUE(TRIM(_xlfn.TEXTSPLIT(Table2511[[#This Row],[Selection Option]:[Selection Option]],";"))),,R$12),"")</f>
        <v/>
      </c>
      <c r="S40" s="41" t="str" cm="1">
        <f t="array" ref="S40">IFERROR(INDEX(_xlfn.UNIQUE(TRIM(_xlfn.TEXTSPLIT(Table2511[[#This Row],[Selection Option]:[Selection Option]],";"))),,S$12),"")</f>
        <v/>
      </c>
      <c r="T40" s="41" t="str" cm="1">
        <f t="array" ref="T40">IFERROR(INDEX(_xlfn.UNIQUE(TRIM(_xlfn.TEXTSPLIT(Table2511[[#This Row],[Selection Option]:[Selection Option]],";"))),,T$12),"")</f>
        <v/>
      </c>
      <c r="U40" s="41" t="str" cm="1">
        <f t="array" ref="U40">IFERROR(INDEX(_xlfn.UNIQUE(TRIM(_xlfn.TEXTSPLIT(Table2511[[#This Row],[Selection Option]:[Selection Option]],";"))),,U$12),"")</f>
        <v/>
      </c>
      <c r="V40" s="41" t="str" cm="1">
        <f t="array" ref="V40">IFERROR(INDEX(_xlfn.UNIQUE(TRIM(_xlfn.TEXTSPLIT(Table2511[[#This Row],[Selection Option]:[Selection Option]],";"))),,V$12),"")</f>
        <v/>
      </c>
      <c r="W40" s="30" cm="1">
        <f t="array" ref="W40">IF(Table2511[[#This Row],[1]]="","",Table2511[[#This Row],[Weight]:[Weight]]-(Table2511[[#This Row],[Weight]:[Weight]]*((_xlfn.XMATCH(Table2511[[#This Row],[1]],Table2511[[#This Row],[1]:[11]],0))-1)/(COUNTA(Table2511[[#This Row],[1]:[11]])-COUNTBLANK(Table2511[[#This Row],[1]:[11]])-1)))</f>
        <v>2.097902097902098E-2</v>
      </c>
      <c r="X40" s="30" cm="1">
        <f t="array" ref="X40">IF(Table2511[[#This Row],[2]]="","",Table2511[[#This Row],[Weight]:[Weight]]-(Table2511[[#This Row],[Weight]:[Weight]]*((_xlfn.XMATCH(Table2511[[#This Row],[2]],Table2511[[#This Row],[1]:[11]],0))-1)/(COUNTA(Table2511[[#This Row],[1]:[11]])-COUNTBLANK(Table2511[[#This Row],[1]:[11]])-1)))</f>
        <v>1.048951048951049E-2</v>
      </c>
      <c r="Y40" s="30" cm="1">
        <f t="array" ref="Y40">IF(Table2511[[#This Row],[3]]="","",Table2511[[#This Row],[Weight]:[Weight]]-(Table2511[[#This Row],[Weight]:[Weight]]*((_xlfn.XMATCH(Table2511[[#This Row],[3]],Table2511[[#This Row],[1]:[11]],0))-1)/(COUNTA(Table2511[[#This Row],[1]:[11]])-COUNTBLANK(Table2511[[#This Row],[1]:[11]])-1)))</f>
        <v>0</v>
      </c>
      <c r="Z40" s="30" t="str" cm="1">
        <f t="array" ref="Z40">IF(Table2511[[#This Row],[4]]="","",Table2511[[#This Row],[Weight]:[Weight]]-(Table2511[[#This Row],[Weight]:[Weight]]*((_xlfn.XMATCH(Table2511[[#This Row],[4]],Table2511[[#This Row],[1]:[11]],0))-1)/(COUNTA(Table2511[[#This Row],[1]:[11]])-COUNTBLANK(Table2511[[#This Row],[1]:[11]])-1)))</f>
        <v/>
      </c>
      <c r="AA40" s="30" t="str" cm="1">
        <f t="array" ref="AA40">IF(Table2511[[#This Row],[5]]="","",Table2511[[#This Row],[Weight]:[Weight]]-(Table2511[[#This Row],[Weight]:[Weight]]*((_xlfn.XMATCH(Table2511[[#This Row],[5]],Table2511[[#This Row],[1]:[11]],0))-1)/(COUNTA(Table2511[[#This Row],[1]:[11]])-COUNTBLANK(Table2511[[#This Row],[1]:[11]])-1)))</f>
        <v/>
      </c>
      <c r="AB40" s="30" t="str" cm="1">
        <f t="array" ref="AB40">IF(Table2511[[#This Row],[6]]="","",Table2511[[#This Row],[Weight]:[Weight]]-(Table2511[[#This Row],[Weight]:[Weight]]*((_xlfn.XMATCH(Table2511[[#This Row],[6]],Table2511[[#This Row],[1]:[11]],0))-1)/(COUNTA(Table2511[[#This Row],[1]:[11]])-COUNTBLANK(Table2511[[#This Row],[1]:[11]])-1)))</f>
        <v/>
      </c>
      <c r="AC40" s="30" t="str" cm="1">
        <f t="array" ref="AC40">IF(Table2511[[#This Row],[7]]="","",Table2511[[#This Row],[Weight]:[Weight]]-(Table2511[[#This Row],[Weight]:[Weight]]*((_xlfn.XMATCH(Table2511[[#This Row],[7]],Table2511[[#This Row],[1]:[11]],0))-1)/(COUNTA(Table2511[[#This Row],[1]:[11]])-COUNTBLANK(Table2511[[#This Row],[1]:[11]])-1)))</f>
        <v/>
      </c>
      <c r="AD40" s="30" t="str" cm="1">
        <f t="array" ref="AD40">IF(Table2511[[#This Row],[8]]="","",Table2511[[#This Row],[Weight]:[Weight]]-(Table2511[[#This Row],[Weight]:[Weight]]*((_xlfn.XMATCH(Table2511[[#This Row],[8]],Table2511[[#This Row],[1]:[11]],0))-1)/(COUNTA(Table2511[[#This Row],[1]:[11]])-COUNTBLANK(Table2511[[#This Row],[1]:[11]])-1)))</f>
        <v/>
      </c>
      <c r="AE40" s="41" t="str" cm="1">
        <f t="array" ref="AE40">IF(Table2511[[#This Row],[9]]="","",Table2511[[#This Row],[Weight]:[Weight]]-(Table2511[[#This Row],[Weight]:[Weight]]*((_xlfn.XMATCH(Table2511[[#This Row],[9]],Table2511[[#This Row],[1]:[11]],0))-1)/(COUNTA(Table2511[[#This Row],[1]:[11]])-COUNTBLANK(Table2511[[#This Row],[1]:[11]])-1)))</f>
        <v/>
      </c>
      <c r="AF40" s="41" t="str" cm="1">
        <f t="array" ref="AF40">IF(Table2511[[#This Row],[10]]="","",Table2511[[#This Row],[Weight]:[Weight]]-(Table2511[[#This Row],[Weight]:[Weight]]*((_xlfn.XMATCH(Table2511[[#This Row],[10]],Table2511[[#This Row],[1]:[11]],0))-1)/(COUNTA(Table2511[[#This Row],[1]:[11]])-COUNTBLANK(Table2511[[#This Row],[1]:[11]])-1)))</f>
        <v/>
      </c>
      <c r="AG40" s="41" t="str" cm="1">
        <f t="array" ref="AG40">IF(Table2511[[#This Row],[11]]="","",Table2511[[#This Row],[Weight]:[Weight]]-(Table2511[[#This Row],[Weight]:[Weight]]*((_xlfn.XMATCH(Table2511[[#This Row],[11]],Table2511[[#This Row],[1]:[11]],0))-1)/(COUNTA(Table2511[[#This Row],[1]:[11]])-COUNTBLANK(Table2511[[#This Row],[1]:[11]])-1)))</f>
        <v/>
      </c>
    </row>
    <row r="41" spans="1:33" ht="72" x14ac:dyDescent="0.2">
      <c r="A41" s="117" t="s">
        <v>198</v>
      </c>
      <c r="B41" s="184" t="s">
        <v>199</v>
      </c>
      <c r="C41" s="204" t="s">
        <v>200</v>
      </c>
      <c r="D41" s="22" t="s">
        <v>106</v>
      </c>
      <c r="E41" s="23" cm="1">
        <f t="array" ref="E41">_xlfn.IFS(D41="","",D41="No interest",0,D41="Nice to have",1,D41="Useful",2,D41="Important",3,D41="Very important",4,D41="Critical",5,D41="Show stopper",6)</f>
        <v>5</v>
      </c>
      <c r="F41" s="24">
        <f t="shared" ref="F41:F46" si="2">(E41/$E$12)*$D$12</f>
        <v>1.7482517482517484E-2</v>
      </c>
      <c r="G41" s="25" t="s">
        <v>403</v>
      </c>
      <c r="H41" s="25" t="str" cm="1">
        <f t="array" ref="H41">_xlfn.TEXTJOIN(" "&amp;CHAR(10),,TEXT(SUBSTITUTE(Table2511[[#This Row],[12]:[22]],".",","),"0,00%"))</f>
        <v>0,0174825174825175 
0,00874125874125874 
0,00%</v>
      </c>
      <c r="I41" s="26" t="s">
        <v>404</v>
      </c>
      <c r="J41" s="27">
        <f>F41-(F41*((MATCH(Table2511[[#This Row],[Evaluators Response (SELECT)]],Table2511[[#This Row],[1]:[11]],0)-1)/(COUNTA(Table2511[[#This Row],[1]:[11]])-COUNTBLANK(Table2511[[#This Row],[1]:[11]])-1)))</f>
        <v>0</v>
      </c>
      <c r="K41" s="28"/>
      <c r="L41" s="41" t="str" cm="1">
        <f t="array" ref="L41">IFERROR(INDEX(_xlfn.UNIQUE(TRIM(_xlfn.TEXTSPLIT(Table2511[[#This Row],[Selection Option]:[Selection Option]],";"))),,L$12),"")</f>
        <v>1. Extensive functionality available</v>
      </c>
      <c r="M41" s="41" t="str" cm="1">
        <f t="array" ref="M41">IFERROR(INDEX(_xlfn.UNIQUE(TRIM(_xlfn.TEXTSPLIT(Table2511[[#This Row],[Selection Option]:[Selection Option]],";"))),,M$12),"")</f>
        <v xml:space="preserve">
2. Limited functionality available</v>
      </c>
      <c r="N41" s="41" t="str" cm="1">
        <f t="array" ref="N41">IFERROR(INDEX(_xlfn.UNIQUE(TRIM(_xlfn.TEXTSPLIT(Table2511[[#This Row],[Selection Option]:[Selection Option]],";"))),,N$12),"")</f>
        <v xml:space="preserve">
3. Functionality not available</v>
      </c>
      <c r="O41" s="41" t="str" cm="1">
        <f t="array" ref="O41">IFERROR(INDEX(_xlfn.UNIQUE(TRIM(_xlfn.TEXTSPLIT(Table2511[[#This Row],[Selection Option]:[Selection Option]],";"))),,O$12),"")</f>
        <v/>
      </c>
      <c r="P41" s="41" t="str" cm="1">
        <f t="array" ref="P41">IFERROR(INDEX(_xlfn.UNIQUE(TRIM(_xlfn.TEXTSPLIT(Table2511[[#This Row],[Selection Option]:[Selection Option]],";"))),,P$12),"")</f>
        <v/>
      </c>
      <c r="Q41" s="41" t="str" cm="1">
        <f t="array" ref="Q41">IFERROR(INDEX(_xlfn.UNIQUE(TRIM(_xlfn.TEXTSPLIT(Table2511[[#This Row],[Selection Option]:[Selection Option]],";"))),,Q$12),"")</f>
        <v/>
      </c>
      <c r="R41" s="41" t="str" cm="1">
        <f t="array" ref="R41">IFERROR(INDEX(_xlfn.UNIQUE(TRIM(_xlfn.TEXTSPLIT(Table2511[[#This Row],[Selection Option]:[Selection Option]],";"))),,R$12),"")</f>
        <v/>
      </c>
      <c r="S41" s="41" t="str" cm="1">
        <f t="array" ref="S41">IFERROR(INDEX(_xlfn.UNIQUE(TRIM(_xlfn.TEXTSPLIT(Table2511[[#This Row],[Selection Option]:[Selection Option]],";"))),,S$12),"")</f>
        <v/>
      </c>
      <c r="T41" s="41" t="str" cm="1">
        <f t="array" ref="T41">IFERROR(INDEX(_xlfn.UNIQUE(TRIM(_xlfn.TEXTSPLIT(Table2511[[#This Row],[Selection Option]:[Selection Option]],";"))),,T$12),"")</f>
        <v/>
      </c>
      <c r="U41" s="41" t="str" cm="1">
        <f t="array" ref="U41">IFERROR(INDEX(_xlfn.UNIQUE(TRIM(_xlfn.TEXTSPLIT(Table2511[[#This Row],[Selection Option]:[Selection Option]],";"))),,U$12),"")</f>
        <v/>
      </c>
      <c r="V41" s="41" t="str" cm="1">
        <f t="array" ref="V41">IFERROR(INDEX(_xlfn.UNIQUE(TRIM(_xlfn.TEXTSPLIT(Table2511[[#This Row],[Selection Option]:[Selection Option]],";"))),,V$12),"")</f>
        <v/>
      </c>
      <c r="W41" s="30" cm="1">
        <f t="array" ref="W41">IF(Table2511[[#This Row],[1]]="","",Table2511[[#This Row],[Weight]:[Weight]]-(Table2511[[#This Row],[Weight]:[Weight]]*((_xlfn.XMATCH(Table2511[[#This Row],[1]],Table2511[[#This Row],[1]:[11]],0))-1)/(COUNTA(Table2511[[#This Row],[1]:[11]])-COUNTBLANK(Table2511[[#This Row],[1]:[11]])-1)))</f>
        <v>1.7482517482517484E-2</v>
      </c>
      <c r="X41" s="30" cm="1">
        <f t="array" ref="X41">IF(Table2511[[#This Row],[2]]="","",Table2511[[#This Row],[Weight]:[Weight]]-(Table2511[[#This Row],[Weight]:[Weight]]*((_xlfn.XMATCH(Table2511[[#This Row],[2]],Table2511[[#This Row],[1]:[11]],0))-1)/(COUNTA(Table2511[[#This Row],[1]:[11]])-COUNTBLANK(Table2511[[#This Row],[1]:[11]])-1)))</f>
        <v>8.7412587412587419E-3</v>
      </c>
      <c r="Y41" s="30" cm="1">
        <f t="array" ref="Y41">IF(Table2511[[#This Row],[3]]="","",Table2511[[#This Row],[Weight]:[Weight]]-(Table2511[[#This Row],[Weight]:[Weight]]*((_xlfn.XMATCH(Table2511[[#This Row],[3]],Table2511[[#This Row],[1]:[11]],0))-1)/(COUNTA(Table2511[[#This Row],[1]:[11]])-COUNTBLANK(Table2511[[#This Row],[1]:[11]])-1)))</f>
        <v>0</v>
      </c>
      <c r="Z41" s="30" t="str" cm="1">
        <f t="array" ref="Z41">IF(Table2511[[#This Row],[4]]="","",Table2511[[#This Row],[Weight]:[Weight]]-(Table2511[[#This Row],[Weight]:[Weight]]*((_xlfn.XMATCH(Table2511[[#This Row],[4]],Table2511[[#This Row],[1]:[11]],0))-1)/(COUNTA(Table2511[[#This Row],[1]:[11]])-COUNTBLANK(Table2511[[#This Row],[1]:[11]])-1)))</f>
        <v/>
      </c>
      <c r="AA41" s="30" t="str" cm="1">
        <f t="array" ref="AA41">IF(Table2511[[#This Row],[5]]="","",Table2511[[#This Row],[Weight]:[Weight]]-(Table2511[[#This Row],[Weight]:[Weight]]*((_xlfn.XMATCH(Table2511[[#This Row],[5]],Table2511[[#This Row],[1]:[11]],0))-1)/(COUNTA(Table2511[[#This Row],[1]:[11]])-COUNTBLANK(Table2511[[#This Row],[1]:[11]])-1)))</f>
        <v/>
      </c>
      <c r="AB41" s="30" t="str" cm="1">
        <f t="array" ref="AB41">IF(Table2511[[#This Row],[6]]="","",Table2511[[#This Row],[Weight]:[Weight]]-(Table2511[[#This Row],[Weight]:[Weight]]*((_xlfn.XMATCH(Table2511[[#This Row],[6]],Table2511[[#This Row],[1]:[11]],0))-1)/(COUNTA(Table2511[[#This Row],[1]:[11]])-COUNTBLANK(Table2511[[#This Row],[1]:[11]])-1)))</f>
        <v/>
      </c>
      <c r="AC41" s="30" t="str" cm="1">
        <f t="array" ref="AC41">IF(Table2511[[#This Row],[7]]="","",Table2511[[#This Row],[Weight]:[Weight]]-(Table2511[[#This Row],[Weight]:[Weight]]*((_xlfn.XMATCH(Table2511[[#This Row],[7]],Table2511[[#This Row],[1]:[11]],0))-1)/(COUNTA(Table2511[[#This Row],[1]:[11]])-COUNTBLANK(Table2511[[#This Row],[1]:[11]])-1)))</f>
        <v/>
      </c>
      <c r="AD41" s="30" t="str" cm="1">
        <f t="array" ref="AD41">IF(Table2511[[#This Row],[8]]="","",Table2511[[#This Row],[Weight]:[Weight]]-(Table2511[[#This Row],[Weight]:[Weight]]*((_xlfn.XMATCH(Table2511[[#This Row],[8]],Table2511[[#This Row],[1]:[11]],0))-1)/(COUNTA(Table2511[[#This Row],[1]:[11]])-COUNTBLANK(Table2511[[#This Row],[1]:[11]])-1)))</f>
        <v/>
      </c>
      <c r="AE41" s="41" t="str" cm="1">
        <f t="array" ref="AE41">IF(Table2511[[#This Row],[9]]="","",Table2511[[#This Row],[Weight]:[Weight]]-(Table2511[[#This Row],[Weight]:[Weight]]*((_xlfn.XMATCH(Table2511[[#This Row],[9]],Table2511[[#This Row],[1]:[11]],0))-1)/(COUNTA(Table2511[[#This Row],[1]:[11]])-COUNTBLANK(Table2511[[#This Row],[1]:[11]])-1)))</f>
        <v/>
      </c>
      <c r="AF41" s="41" t="str" cm="1">
        <f t="array" ref="AF41">IF(Table2511[[#This Row],[10]]="","",Table2511[[#This Row],[Weight]:[Weight]]-(Table2511[[#This Row],[Weight]:[Weight]]*((_xlfn.XMATCH(Table2511[[#This Row],[10]],Table2511[[#This Row],[1]:[11]],0))-1)/(COUNTA(Table2511[[#This Row],[1]:[11]])-COUNTBLANK(Table2511[[#This Row],[1]:[11]])-1)))</f>
        <v/>
      </c>
      <c r="AG41" s="41" t="str" cm="1">
        <f t="array" ref="AG41">IF(Table2511[[#This Row],[11]]="","",Table2511[[#This Row],[Weight]:[Weight]]-(Table2511[[#This Row],[Weight]:[Weight]]*((_xlfn.XMATCH(Table2511[[#This Row],[11]],Table2511[[#This Row],[1]:[11]],0))-1)/(COUNTA(Table2511[[#This Row],[1]:[11]])-COUNTBLANK(Table2511[[#This Row],[1]:[11]])-1)))</f>
        <v/>
      </c>
    </row>
    <row r="42" spans="1:33" ht="72" x14ac:dyDescent="0.2">
      <c r="A42" s="117" t="s">
        <v>201</v>
      </c>
      <c r="B42" s="184" t="s">
        <v>202</v>
      </c>
      <c r="C42" s="204" t="s">
        <v>203</v>
      </c>
      <c r="D42" s="22" t="s">
        <v>106</v>
      </c>
      <c r="E42" s="23" cm="1">
        <f t="array" ref="E42">_xlfn.IFS(D42="","",D42="No interest",0,D42="Nice to have",1,D42="Useful",2,D42="Important",3,D42="Very important",4,D42="Critical",5,D42="Show stopper",6)</f>
        <v>5</v>
      </c>
      <c r="F42" s="24">
        <f t="shared" si="2"/>
        <v>1.7482517482517484E-2</v>
      </c>
      <c r="G42" s="25" t="s">
        <v>403</v>
      </c>
      <c r="H42" s="25" t="str" cm="1">
        <f t="array" ref="H42">_xlfn.TEXTJOIN(" "&amp;CHAR(10),,TEXT(SUBSTITUTE(Table2511[[#This Row],[12]:[22]],".",","),"0,00%"))</f>
        <v>0,0174825174825175 
0,00874125874125874 
0,00%</v>
      </c>
      <c r="I42" s="26" t="s">
        <v>404</v>
      </c>
      <c r="J42" s="27">
        <f>F42-(F42*((MATCH(Table2511[[#This Row],[Evaluators Response (SELECT)]],Table2511[[#This Row],[1]:[11]],0)-1)/(COUNTA(Table2511[[#This Row],[1]:[11]])-COUNTBLANK(Table2511[[#This Row],[1]:[11]])-1)))</f>
        <v>0</v>
      </c>
      <c r="K42" s="28"/>
      <c r="L42" s="41" t="str" cm="1">
        <f t="array" ref="L42">IFERROR(INDEX(_xlfn.UNIQUE(TRIM(_xlfn.TEXTSPLIT(Table2511[[#This Row],[Selection Option]:[Selection Option]],";"))),,L$12),"")</f>
        <v>1. Extensive functionality available</v>
      </c>
      <c r="M42" s="41" t="str" cm="1">
        <f t="array" ref="M42">IFERROR(INDEX(_xlfn.UNIQUE(TRIM(_xlfn.TEXTSPLIT(Table2511[[#This Row],[Selection Option]:[Selection Option]],";"))),,M$12),"")</f>
        <v xml:space="preserve">
2. Limited functionality available</v>
      </c>
      <c r="N42" s="41" t="str" cm="1">
        <f t="array" ref="N42">IFERROR(INDEX(_xlfn.UNIQUE(TRIM(_xlfn.TEXTSPLIT(Table2511[[#This Row],[Selection Option]:[Selection Option]],";"))),,N$12),"")</f>
        <v xml:space="preserve">
3. Functionality not available</v>
      </c>
      <c r="O42" s="41" t="str" cm="1">
        <f t="array" ref="O42">IFERROR(INDEX(_xlfn.UNIQUE(TRIM(_xlfn.TEXTSPLIT(Table2511[[#This Row],[Selection Option]:[Selection Option]],";"))),,O$12),"")</f>
        <v/>
      </c>
      <c r="P42" s="41" t="str" cm="1">
        <f t="array" ref="P42">IFERROR(INDEX(_xlfn.UNIQUE(TRIM(_xlfn.TEXTSPLIT(Table2511[[#This Row],[Selection Option]:[Selection Option]],";"))),,P$12),"")</f>
        <v/>
      </c>
      <c r="Q42" s="41" t="str" cm="1">
        <f t="array" ref="Q42">IFERROR(INDEX(_xlfn.UNIQUE(TRIM(_xlfn.TEXTSPLIT(Table2511[[#This Row],[Selection Option]:[Selection Option]],";"))),,Q$12),"")</f>
        <v/>
      </c>
      <c r="R42" s="41" t="str" cm="1">
        <f t="array" ref="R42">IFERROR(INDEX(_xlfn.UNIQUE(TRIM(_xlfn.TEXTSPLIT(Table2511[[#This Row],[Selection Option]:[Selection Option]],";"))),,R$12),"")</f>
        <v/>
      </c>
      <c r="S42" s="41" t="str" cm="1">
        <f t="array" ref="S42">IFERROR(INDEX(_xlfn.UNIQUE(TRIM(_xlfn.TEXTSPLIT(Table2511[[#This Row],[Selection Option]:[Selection Option]],";"))),,S$12),"")</f>
        <v/>
      </c>
      <c r="T42" s="41" t="str" cm="1">
        <f t="array" ref="T42">IFERROR(INDEX(_xlfn.UNIQUE(TRIM(_xlfn.TEXTSPLIT(Table2511[[#This Row],[Selection Option]:[Selection Option]],";"))),,T$12),"")</f>
        <v/>
      </c>
      <c r="U42" s="41" t="str" cm="1">
        <f t="array" ref="U42">IFERROR(INDEX(_xlfn.UNIQUE(TRIM(_xlfn.TEXTSPLIT(Table2511[[#This Row],[Selection Option]:[Selection Option]],";"))),,U$12),"")</f>
        <v/>
      </c>
      <c r="V42" s="41" t="str" cm="1">
        <f t="array" ref="V42">IFERROR(INDEX(_xlfn.UNIQUE(TRIM(_xlfn.TEXTSPLIT(Table2511[[#This Row],[Selection Option]:[Selection Option]],";"))),,V$12),"")</f>
        <v/>
      </c>
      <c r="W42" s="30" cm="1">
        <f t="array" ref="W42">IF(Table2511[[#This Row],[1]]="","",Table2511[[#This Row],[Weight]:[Weight]]-(Table2511[[#This Row],[Weight]:[Weight]]*((_xlfn.XMATCH(Table2511[[#This Row],[1]],Table2511[[#This Row],[1]:[11]],0))-1)/(COUNTA(Table2511[[#This Row],[1]:[11]])-COUNTBLANK(Table2511[[#This Row],[1]:[11]])-1)))</f>
        <v>1.7482517482517484E-2</v>
      </c>
      <c r="X42" s="30" cm="1">
        <f t="array" ref="X42">IF(Table2511[[#This Row],[2]]="","",Table2511[[#This Row],[Weight]:[Weight]]-(Table2511[[#This Row],[Weight]:[Weight]]*((_xlfn.XMATCH(Table2511[[#This Row],[2]],Table2511[[#This Row],[1]:[11]],0))-1)/(COUNTA(Table2511[[#This Row],[1]:[11]])-COUNTBLANK(Table2511[[#This Row],[1]:[11]])-1)))</f>
        <v>8.7412587412587419E-3</v>
      </c>
      <c r="Y42" s="30" cm="1">
        <f t="array" ref="Y42">IF(Table2511[[#This Row],[3]]="","",Table2511[[#This Row],[Weight]:[Weight]]-(Table2511[[#This Row],[Weight]:[Weight]]*((_xlfn.XMATCH(Table2511[[#This Row],[3]],Table2511[[#This Row],[1]:[11]],0))-1)/(COUNTA(Table2511[[#This Row],[1]:[11]])-COUNTBLANK(Table2511[[#This Row],[1]:[11]])-1)))</f>
        <v>0</v>
      </c>
      <c r="Z42" s="30" t="str" cm="1">
        <f t="array" ref="Z42">IF(Table2511[[#This Row],[4]]="","",Table2511[[#This Row],[Weight]:[Weight]]-(Table2511[[#This Row],[Weight]:[Weight]]*((_xlfn.XMATCH(Table2511[[#This Row],[4]],Table2511[[#This Row],[1]:[11]],0))-1)/(COUNTA(Table2511[[#This Row],[1]:[11]])-COUNTBLANK(Table2511[[#This Row],[1]:[11]])-1)))</f>
        <v/>
      </c>
      <c r="AA42" s="30" t="str" cm="1">
        <f t="array" ref="AA42">IF(Table2511[[#This Row],[5]]="","",Table2511[[#This Row],[Weight]:[Weight]]-(Table2511[[#This Row],[Weight]:[Weight]]*((_xlfn.XMATCH(Table2511[[#This Row],[5]],Table2511[[#This Row],[1]:[11]],0))-1)/(COUNTA(Table2511[[#This Row],[1]:[11]])-COUNTBLANK(Table2511[[#This Row],[1]:[11]])-1)))</f>
        <v/>
      </c>
      <c r="AB42" s="30" t="str" cm="1">
        <f t="array" ref="AB42">IF(Table2511[[#This Row],[6]]="","",Table2511[[#This Row],[Weight]:[Weight]]-(Table2511[[#This Row],[Weight]:[Weight]]*((_xlfn.XMATCH(Table2511[[#This Row],[6]],Table2511[[#This Row],[1]:[11]],0))-1)/(COUNTA(Table2511[[#This Row],[1]:[11]])-COUNTBLANK(Table2511[[#This Row],[1]:[11]])-1)))</f>
        <v/>
      </c>
      <c r="AC42" s="30" t="str" cm="1">
        <f t="array" ref="AC42">IF(Table2511[[#This Row],[7]]="","",Table2511[[#This Row],[Weight]:[Weight]]-(Table2511[[#This Row],[Weight]:[Weight]]*((_xlfn.XMATCH(Table2511[[#This Row],[7]],Table2511[[#This Row],[1]:[11]],0))-1)/(COUNTA(Table2511[[#This Row],[1]:[11]])-COUNTBLANK(Table2511[[#This Row],[1]:[11]])-1)))</f>
        <v/>
      </c>
      <c r="AD42" s="30" t="str" cm="1">
        <f t="array" ref="AD42">IF(Table2511[[#This Row],[8]]="","",Table2511[[#This Row],[Weight]:[Weight]]-(Table2511[[#This Row],[Weight]:[Weight]]*((_xlfn.XMATCH(Table2511[[#This Row],[8]],Table2511[[#This Row],[1]:[11]],0))-1)/(COUNTA(Table2511[[#This Row],[1]:[11]])-COUNTBLANK(Table2511[[#This Row],[1]:[11]])-1)))</f>
        <v/>
      </c>
      <c r="AE42" s="41" t="str" cm="1">
        <f t="array" ref="AE42">IF(Table2511[[#This Row],[9]]="","",Table2511[[#This Row],[Weight]:[Weight]]-(Table2511[[#This Row],[Weight]:[Weight]]*((_xlfn.XMATCH(Table2511[[#This Row],[9]],Table2511[[#This Row],[1]:[11]],0))-1)/(COUNTA(Table2511[[#This Row],[1]:[11]])-COUNTBLANK(Table2511[[#This Row],[1]:[11]])-1)))</f>
        <v/>
      </c>
      <c r="AF42" s="41" t="str" cm="1">
        <f t="array" ref="AF42">IF(Table2511[[#This Row],[10]]="","",Table2511[[#This Row],[Weight]:[Weight]]-(Table2511[[#This Row],[Weight]:[Weight]]*((_xlfn.XMATCH(Table2511[[#This Row],[10]],Table2511[[#This Row],[1]:[11]],0))-1)/(COUNTA(Table2511[[#This Row],[1]:[11]])-COUNTBLANK(Table2511[[#This Row],[1]:[11]])-1)))</f>
        <v/>
      </c>
      <c r="AG42" s="41" t="str" cm="1">
        <f t="array" ref="AG42">IF(Table2511[[#This Row],[11]]="","",Table2511[[#This Row],[Weight]:[Weight]]-(Table2511[[#This Row],[Weight]:[Weight]]*((_xlfn.XMATCH(Table2511[[#This Row],[11]],Table2511[[#This Row],[1]:[11]],0))-1)/(COUNTA(Table2511[[#This Row],[1]:[11]])-COUNTBLANK(Table2511[[#This Row],[1]:[11]])-1)))</f>
        <v/>
      </c>
    </row>
    <row r="43" spans="1:33" ht="72" x14ac:dyDescent="0.2">
      <c r="A43" s="117" t="s">
        <v>204</v>
      </c>
      <c r="B43" s="184" t="s">
        <v>205</v>
      </c>
      <c r="C43" s="204" t="s">
        <v>206</v>
      </c>
      <c r="D43" s="22" t="s">
        <v>106</v>
      </c>
      <c r="E43" s="23" cm="1">
        <f t="array" ref="E43">_xlfn.IFS(D43="","",D43="No interest",0,D43="Nice to have",1,D43="Useful",2,D43="Important",3,D43="Very important",4,D43="Critical",5,D43="Show stopper",6)</f>
        <v>5</v>
      </c>
      <c r="F43" s="24">
        <f t="shared" si="2"/>
        <v>1.7482517482517484E-2</v>
      </c>
      <c r="G43" s="25" t="s">
        <v>403</v>
      </c>
      <c r="H43" s="25" t="str" cm="1">
        <f t="array" ref="H43">_xlfn.TEXTJOIN(" "&amp;CHAR(10),,TEXT(SUBSTITUTE(Table2511[[#This Row],[12]:[22]],".",","),"0,00%"))</f>
        <v>0,0174825174825175 
0,00874125874125874 
0,00%</v>
      </c>
      <c r="I43" s="26" t="s">
        <v>404</v>
      </c>
      <c r="J43" s="27">
        <f>F43-(F43*((MATCH(Table2511[[#This Row],[Evaluators Response (SELECT)]],Table2511[[#This Row],[1]:[11]],0)-1)/(COUNTA(Table2511[[#This Row],[1]:[11]])-COUNTBLANK(Table2511[[#This Row],[1]:[11]])-1)))</f>
        <v>0</v>
      </c>
      <c r="K43" s="28"/>
      <c r="L43" s="41" t="str" cm="1">
        <f t="array" ref="L43">IFERROR(INDEX(_xlfn.UNIQUE(TRIM(_xlfn.TEXTSPLIT(Table2511[[#This Row],[Selection Option]:[Selection Option]],";"))),,L$12),"")</f>
        <v>1. Extensive functionality available</v>
      </c>
      <c r="M43" s="41" t="str" cm="1">
        <f t="array" ref="M43">IFERROR(INDEX(_xlfn.UNIQUE(TRIM(_xlfn.TEXTSPLIT(Table2511[[#This Row],[Selection Option]:[Selection Option]],";"))),,M$12),"")</f>
        <v xml:space="preserve">
2. Limited functionality available</v>
      </c>
      <c r="N43" s="41" t="str" cm="1">
        <f t="array" ref="N43">IFERROR(INDEX(_xlfn.UNIQUE(TRIM(_xlfn.TEXTSPLIT(Table2511[[#This Row],[Selection Option]:[Selection Option]],";"))),,N$12),"")</f>
        <v xml:space="preserve">
3. Functionality not available</v>
      </c>
      <c r="O43" s="41" t="str" cm="1">
        <f t="array" ref="O43">IFERROR(INDEX(_xlfn.UNIQUE(TRIM(_xlfn.TEXTSPLIT(Table2511[[#This Row],[Selection Option]:[Selection Option]],";"))),,O$12),"")</f>
        <v/>
      </c>
      <c r="P43" s="41" t="str" cm="1">
        <f t="array" ref="P43">IFERROR(INDEX(_xlfn.UNIQUE(TRIM(_xlfn.TEXTSPLIT(Table2511[[#This Row],[Selection Option]:[Selection Option]],";"))),,P$12),"")</f>
        <v/>
      </c>
      <c r="Q43" s="41" t="str" cm="1">
        <f t="array" ref="Q43">IFERROR(INDEX(_xlfn.UNIQUE(TRIM(_xlfn.TEXTSPLIT(Table2511[[#This Row],[Selection Option]:[Selection Option]],";"))),,Q$12),"")</f>
        <v/>
      </c>
      <c r="R43" s="41" t="str" cm="1">
        <f t="array" ref="R43">IFERROR(INDEX(_xlfn.UNIQUE(TRIM(_xlfn.TEXTSPLIT(Table2511[[#This Row],[Selection Option]:[Selection Option]],";"))),,R$12),"")</f>
        <v/>
      </c>
      <c r="S43" s="41" t="str" cm="1">
        <f t="array" ref="S43">IFERROR(INDEX(_xlfn.UNIQUE(TRIM(_xlfn.TEXTSPLIT(Table2511[[#This Row],[Selection Option]:[Selection Option]],";"))),,S$12),"")</f>
        <v/>
      </c>
      <c r="T43" s="41" t="str" cm="1">
        <f t="array" ref="T43">IFERROR(INDEX(_xlfn.UNIQUE(TRIM(_xlfn.TEXTSPLIT(Table2511[[#This Row],[Selection Option]:[Selection Option]],";"))),,T$12),"")</f>
        <v/>
      </c>
      <c r="U43" s="41" t="str" cm="1">
        <f t="array" ref="U43">IFERROR(INDEX(_xlfn.UNIQUE(TRIM(_xlfn.TEXTSPLIT(Table2511[[#This Row],[Selection Option]:[Selection Option]],";"))),,U$12),"")</f>
        <v/>
      </c>
      <c r="V43" s="41" t="str" cm="1">
        <f t="array" ref="V43">IFERROR(INDEX(_xlfn.UNIQUE(TRIM(_xlfn.TEXTSPLIT(Table2511[[#This Row],[Selection Option]:[Selection Option]],";"))),,V$12),"")</f>
        <v/>
      </c>
      <c r="W43" s="30" cm="1">
        <f t="array" ref="W43">IF(Table2511[[#This Row],[1]]="","",Table2511[[#This Row],[Weight]:[Weight]]-(Table2511[[#This Row],[Weight]:[Weight]]*((_xlfn.XMATCH(Table2511[[#This Row],[1]],Table2511[[#This Row],[1]:[11]],0))-1)/(COUNTA(Table2511[[#This Row],[1]:[11]])-COUNTBLANK(Table2511[[#This Row],[1]:[11]])-1)))</f>
        <v>1.7482517482517484E-2</v>
      </c>
      <c r="X43" s="30" cm="1">
        <f t="array" ref="X43">IF(Table2511[[#This Row],[2]]="","",Table2511[[#This Row],[Weight]:[Weight]]-(Table2511[[#This Row],[Weight]:[Weight]]*((_xlfn.XMATCH(Table2511[[#This Row],[2]],Table2511[[#This Row],[1]:[11]],0))-1)/(COUNTA(Table2511[[#This Row],[1]:[11]])-COUNTBLANK(Table2511[[#This Row],[1]:[11]])-1)))</f>
        <v>8.7412587412587419E-3</v>
      </c>
      <c r="Y43" s="30" cm="1">
        <f t="array" ref="Y43">IF(Table2511[[#This Row],[3]]="","",Table2511[[#This Row],[Weight]:[Weight]]-(Table2511[[#This Row],[Weight]:[Weight]]*((_xlfn.XMATCH(Table2511[[#This Row],[3]],Table2511[[#This Row],[1]:[11]],0))-1)/(COUNTA(Table2511[[#This Row],[1]:[11]])-COUNTBLANK(Table2511[[#This Row],[1]:[11]])-1)))</f>
        <v>0</v>
      </c>
      <c r="Z43" s="30" t="str" cm="1">
        <f t="array" ref="Z43">IF(Table2511[[#This Row],[4]]="","",Table2511[[#This Row],[Weight]:[Weight]]-(Table2511[[#This Row],[Weight]:[Weight]]*((_xlfn.XMATCH(Table2511[[#This Row],[4]],Table2511[[#This Row],[1]:[11]],0))-1)/(COUNTA(Table2511[[#This Row],[1]:[11]])-COUNTBLANK(Table2511[[#This Row],[1]:[11]])-1)))</f>
        <v/>
      </c>
      <c r="AA43" s="30" t="str" cm="1">
        <f t="array" ref="AA43">IF(Table2511[[#This Row],[5]]="","",Table2511[[#This Row],[Weight]:[Weight]]-(Table2511[[#This Row],[Weight]:[Weight]]*((_xlfn.XMATCH(Table2511[[#This Row],[5]],Table2511[[#This Row],[1]:[11]],0))-1)/(COUNTA(Table2511[[#This Row],[1]:[11]])-COUNTBLANK(Table2511[[#This Row],[1]:[11]])-1)))</f>
        <v/>
      </c>
      <c r="AB43" s="30" t="str" cm="1">
        <f t="array" ref="AB43">IF(Table2511[[#This Row],[6]]="","",Table2511[[#This Row],[Weight]:[Weight]]-(Table2511[[#This Row],[Weight]:[Weight]]*((_xlfn.XMATCH(Table2511[[#This Row],[6]],Table2511[[#This Row],[1]:[11]],0))-1)/(COUNTA(Table2511[[#This Row],[1]:[11]])-COUNTBLANK(Table2511[[#This Row],[1]:[11]])-1)))</f>
        <v/>
      </c>
      <c r="AC43" s="30" t="str" cm="1">
        <f t="array" ref="AC43">IF(Table2511[[#This Row],[7]]="","",Table2511[[#This Row],[Weight]:[Weight]]-(Table2511[[#This Row],[Weight]:[Weight]]*((_xlfn.XMATCH(Table2511[[#This Row],[7]],Table2511[[#This Row],[1]:[11]],0))-1)/(COUNTA(Table2511[[#This Row],[1]:[11]])-COUNTBLANK(Table2511[[#This Row],[1]:[11]])-1)))</f>
        <v/>
      </c>
      <c r="AD43" s="30" t="str" cm="1">
        <f t="array" ref="AD43">IF(Table2511[[#This Row],[8]]="","",Table2511[[#This Row],[Weight]:[Weight]]-(Table2511[[#This Row],[Weight]:[Weight]]*((_xlfn.XMATCH(Table2511[[#This Row],[8]],Table2511[[#This Row],[1]:[11]],0))-1)/(COUNTA(Table2511[[#This Row],[1]:[11]])-COUNTBLANK(Table2511[[#This Row],[1]:[11]])-1)))</f>
        <v/>
      </c>
      <c r="AE43" s="41" t="str" cm="1">
        <f t="array" ref="AE43">IF(Table2511[[#This Row],[9]]="","",Table2511[[#This Row],[Weight]:[Weight]]-(Table2511[[#This Row],[Weight]:[Weight]]*((_xlfn.XMATCH(Table2511[[#This Row],[9]],Table2511[[#This Row],[1]:[11]],0))-1)/(COUNTA(Table2511[[#This Row],[1]:[11]])-COUNTBLANK(Table2511[[#This Row],[1]:[11]])-1)))</f>
        <v/>
      </c>
      <c r="AF43" s="41" t="str" cm="1">
        <f t="array" ref="AF43">IF(Table2511[[#This Row],[10]]="","",Table2511[[#This Row],[Weight]:[Weight]]-(Table2511[[#This Row],[Weight]:[Weight]]*((_xlfn.XMATCH(Table2511[[#This Row],[10]],Table2511[[#This Row],[1]:[11]],0))-1)/(COUNTA(Table2511[[#This Row],[1]:[11]])-COUNTBLANK(Table2511[[#This Row],[1]:[11]])-1)))</f>
        <v/>
      </c>
      <c r="AG43" s="41" t="str" cm="1">
        <f t="array" ref="AG43">IF(Table2511[[#This Row],[11]]="","",Table2511[[#This Row],[Weight]:[Weight]]-(Table2511[[#This Row],[Weight]:[Weight]]*((_xlfn.XMATCH(Table2511[[#This Row],[11]],Table2511[[#This Row],[1]:[11]],0))-1)/(COUNTA(Table2511[[#This Row],[1]:[11]])-COUNTBLANK(Table2511[[#This Row],[1]:[11]])-1)))</f>
        <v/>
      </c>
    </row>
    <row r="44" spans="1:33" ht="72" x14ac:dyDescent="0.2">
      <c r="A44" s="117" t="s">
        <v>207</v>
      </c>
      <c r="B44" s="184" t="s">
        <v>208</v>
      </c>
      <c r="C44" s="204" t="s">
        <v>209</v>
      </c>
      <c r="D44" s="22" t="s">
        <v>106</v>
      </c>
      <c r="E44" s="23" cm="1">
        <f t="array" ref="E44">_xlfn.IFS(D44="","",D44="No interest",0,D44="Nice to have",1,D44="Useful",2,D44="Important",3,D44="Very important",4,D44="Critical",5,D44="Show stopper",6)</f>
        <v>5</v>
      </c>
      <c r="F44" s="24">
        <f t="shared" si="2"/>
        <v>1.7482517482517484E-2</v>
      </c>
      <c r="G44" s="25" t="s">
        <v>403</v>
      </c>
      <c r="H44" s="25" t="str" cm="1">
        <f t="array" ref="H44">_xlfn.TEXTJOIN(" "&amp;CHAR(10),,TEXT(SUBSTITUTE(Table2511[[#This Row],[12]:[22]],".",","),"0,00%"))</f>
        <v>0,0174825174825175 
0,00874125874125874 
0,00%</v>
      </c>
      <c r="I44" s="26" t="s">
        <v>404</v>
      </c>
      <c r="J44" s="27">
        <f>F44-(F44*((MATCH(Table2511[[#This Row],[Evaluators Response (SELECT)]],Table2511[[#This Row],[1]:[11]],0)-1)/(COUNTA(Table2511[[#This Row],[1]:[11]])-COUNTBLANK(Table2511[[#This Row],[1]:[11]])-1)))</f>
        <v>0</v>
      </c>
      <c r="K44" s="28"/>
      <c r="L44" s="41" t="str" cm="1">
        <f t="array" ref="L44">IFERROR(INDEX(_xlfn.UNIQUE(TRIM(_xlfn.TEXTSPLIT(Table2511[[#This Row],[Selection Option]:[Selection Option]],";"))),,L$12),"")</f>
        <v>1. Extensive functionality available</v>
      </c>
      <c r="M44" s="41" t="str" cm="1">
        <f t="array" ref="M44">IFERROR(INDEX(_xlfn.UNIQUE(TRIM(_xlfn.TEXTSPLIT(Table2511[[#This Row],[Selection Option]:[Selection Option]],";"))),,M$12),"")</f>
        <v xml:space="preserve">
2. Limited functionality available</v>
      </c>
      <c r="N44" s="41" t="str" cm="1">
        <f t="array" ref="N44">IFERROR(INDEX(_xlfn.UNIQUE(TRIM(_xlfn.TEXTSPLIT(Table2511[[#This Row],[Selection Option]:[Selection Option]],";"))),,N$12),"")</f>
        <v xml:space="preserve">
3. Functionality not available</v>
      </c>
      <c r="O44" s="41" t="str" cm="1">
        <f t="array" ref="O44">IFERROR(INDEX(_xlfn.UNIQUE(TRIM(_xlfn.TEXTSPLIT(Table2511[[#This Row],[Selection Option]:[Selection Option]],";"))),,O$12),"")</f>
        <v/>
      </c>
      <c r="P44" s="41" t="str" cm="1">
        <f t="array" ref="P44">IFERROR(INDEX(_xlfn.UNIQUE(TRIM(_xlfn.TEXTSPLIT(Table2511[[#This Row],[Selection Option]:[Selection Option]],";"))),,P$12),"")</f>
        <v/>
      </c>
      <c r="Q44" s="41" t="str" cm="1">
        <f t="array" ref="Q44">IFERROR(INDEX(_xlfn.UNIQUE(TRIM(_xlfn.TEXTSPLIT(Table2511[[#This Row],[Selection Option]:[Selection Option]],";"))),,Q$12),"")</f>
        <v/>
      </c>
      <c r="R44" s="41" t="str" cm="1">
        <f t="array" ref="R44">IFERROR(INDEX(_xlfn.UNIQUE(TRIM(_xlfn.TEXTSPLIT(Table2511[[#This Row],[Selection Option]:[Selection Option]],";"))),,R$12),"")</f>
        <v/>
      </c>
      <c r="S44" s="41" t="str" cm="1">
        <f t="array" ref="S44">IFERROR(INDEX(_xlfn.UNIQUE(TRIM(_xlfn.TEXTSPLIT(Table2511[[#This Row],[Selection Option]:[Selection Option]],";"))),,S$12),"")</f>
        <v/>
      </c>
      <c r="T44" s="41" t="str" cm="1">
        <f t="array" ref="T44">IFERROR(INDEX(_xlfn.UNIQUE(TRIM(_xlfn.TEXTSPLIT(Table2511[[#This Row],[Selection Option]:[Selection Option]],";"))),,T$12),"")</f>
        <v/>
      </c>
      <c r="U44" s="41" t="str" cm="1">
        <f t="array" ref="U44">IFERROR(INDEX(_xlfn.UNIQUE(TRIM(_xlfn.TEXTSPLIT(Table2511[[#This Row],[Selection Option]:[Selection Option]],";"))),,U$12),"")</f>
        <v/>
      </c>
      <c r="V44" s="41" t="str" cm="1">
        <f t="array" ref="V44">IFERROR(INDEX(_xlfn.UNIQUE(TRIM(_xlfn.TEXTSPLIT(Table2511[[#This Row],[Selection Option]:[Selection Option]],";"))),,V$12),"")</f>
        <v/>
      </c>
      <c r="W44" s="30" cm="1">
        <f t="array" ref="W44">IF(Table2511[[#This Row],[1]]="","",Table2511[[#This Row],[Weight]:[Weight]]-(Table2511[[#This Row],[Weight]:[Weight]]*((_xlfn.XMATCH(Table2511[[#This Row],[1]],Table2511[[#This Row],[1]:[11]],0))-1)/(COUNTA(Table2511[[#This Row],[1]:[11]])-COUNTBLANK(Table2511[[#This Row],[1]:[11]])-1)))</f>
        <v>1.7482517482517484E-2</v>
      </c>
      <c r="X44" s="30" cm="1">
        <f t="array" ref="X44">IF(Table2511[[#This Row],[2]]="","",Table2511[[#This Row],[Weight]:[Weight]]-(Table2511[[#This Row],[Weight]:[Weight]]*((_xlfn.XMATCH(Table2511[[#This Row],[2]],Table2511[[#This Row],[1]:[11]],0))-1)/(COUNTA(Table2511[[#This Row],[1]:[11]])-COUNTBLANK(Table2511[[#This Row],[1]:[11]])-1)))</f>
        <v>8.7412587412587419E-3</v>
      </c>
      <c r="Y44" s="30" cm="1">
        <f t="array" ref="Y44">IF(Table2511[[#This Row],[3]]="","",Table2511[[#This Row],[Weight]:[Weight]]-(Table2511[[#This Row],[Weight]:[Weight]]*((_xlfn.XMATCH(Table2511[[#This Row],[3]],Table2511[[#This Row],[1]:[11]],0))-1)/(COUNTA(Table2511[[#This Row],[1]:[11]])-COUNTBLANK(Table2511[[#This Row],[1]:[11]])-1)))</f>
        <v>0</v>
      </c>
      <c r="Z44" s="30" t="str" cm="1">
        <f t="array" ref="Z44">IF(Table2511[[#This Row],[4]]="","",Table2511[[#This Row],[Weight]:[Weight]]-(Table2511[[#This Row],[Weight]:[Weight]]*((_xlfn.XMATCH(Table2511[[#This Row],[4]],Table2511[[#This Row],[1]:[11]],0))-1)/(COUNTA(Table2511[[#This Row],[1]:[11]])-COUNTBLANK(Table2511[[#This Row],[1]:[11]])-1)))</f>
        <v/>
      </c>
      <c r="AA44" s="30" t="str" cm="1">
        <f t="array" ref="AA44">IF(Table2511[[#This Row],[5]]="","",Table2511[[#This Row],[Weight]:[Weight]]-(Table2511[[#This Row],[Weight]:[Weight]]*((_xlfn.XMATCH(Table2511[[#This Row],[5]],Table2511[[#This Row],[1]:[11]],0))-1)/(COUNTA(Table2511[[#This Row],[1]:[11]])-COUNTBLANK(Table2511[[#This Row],[1]:[11]])-1)))</f>
        <v/>
      </c>
      <c r="AB44" s="30" t="str" cm="1">
        <f t="array" ref="AB44">IF(Table2511[[#This Row],[6]]="","",Table2511[[#This Row],[Weight]:[Weight]]-(Table2511[[#This Row],[Weight]:[Weight]]*((_xlfn.XMATCH(Table2511[[#This Row],[6]],Table2511[[#This Row],[1]:[11]],0))-1)/(COUNTA(Table2511[[#This Row],[1]:[11]])-COUNTBLANK(Table2511[[#This Row],[1]:[11]])-1)))</f>
        <v/>
      </c>
      <c r="AC44" s="30" t="str" cm="1">
        <f t="array" ref="AC44">IF(Table2511[[#This Row],[7]]="","",Table2511[[#This Row],[Weight]:[Weight]]-(Table2511[[#This Row],[Weight]:[Weight]]*((_xlfn.XMATCH(Table2511[[#This Row],[7]],Table2511[[#This Row],[1]:[11]],0))-1)/(COUNTA(Table2511[[#This Row],[1]:[11]])-COUNTBLANK(Table2511[[#This Row],[1]:[11]])-1)))</f>
        <v/>
      </c>
      <c r="AD44" s="30" t="str" cm="1">
        <f t="array" ref="AD44">IF(Table2511[[#This Row],[8]]="","",Table2511[[#This Row],[Weight]:[Weight]]-(Table2511[[#This Row],[Weight]:[Weight]]*((_xlfn.XMATCH(Table2511[[#This Row],[8]],Table2511[[#This Row],[1]:[11]],0))-1)/(COUNTA(Table2511[[#This Row],[1]:[11]])-COUNTBLANK(Table2511[[#This Row],[1]:[11]])-1)))</f>
        <v/>
      </c>
      <c r="AE44" s="41" t="str" cm="1">
        <f t="array" ref="AE44">IF(Table2511[[#This Row],[9]]="","",Table2511[[#This Row],[Weight]:[Weight]]-(Table2511[[#This Row],[Weight]:[Weight]]*((_xlfn.XMATCH(Table2511[[#This Row],[9]],Table2511[[#This Row],[1]:[11]],0))-1)/(COUNTA(Table2511[[#This Row],[1]:[11]])-COUNTBLANK(Table2511[[#This Row],[1]:[11]])-1)))</f>
        <v/>
      </c>
      <c r="AF44" s="41" t="str" cm="1">
        <f t="array" ref="AF44">IF(Table2511[[#This Row],[10]]="","",Table2511[[#This Row],[Weight]:[Weight]]-(Table2511[[#This Row],[Weight]:[Weight]]*((_xlfn.XMATCH(Table2511[[#This Row],[10]],Table2511[[#This Row],[1]:[11]],0))-1)/(COUNTA(Table2511[[#This Row],[1]:[11]])-COUNTBLANK(Table2511[[#This Row],[1]:[11]])-1)))</f>
        <v/>
      </c>
      <c r="AG44" s="41" t="str" cm="1">
        <f t="array" ref="AG44">IF(Table2511[[#This Row],[11]]="","",Table2511[[#This Row],[Weight]:[Weight]]-(Table2511[[#This Row],[Weight]:[Weight]]*((_xlfn.XMATCH(Table2511[[#This Row],[11]],Table2511[[#This Row],[1]:[11]],0))-1)/(COUNTA(Table2511[[#This Row],[1]:[11]])-COUNTBLANK(Table2511[[#This Row],[1]:[11]])-1)))</f>
        <v/>
      </c>
    </row>
    <row r="45" spans="1:33" ht="72" x14ac:dyDescent="0.2">
      <c r="A45" s="117" t="s">
        <v>210</v>
      </c>
      <c r="B45" s="184" t="s">
        <v>211</v>
      </c>
      <c r="C45" s="204" t="s">
        <v>212</v>
      </c>
      <c r="D45" s="22" t="s">
        <v>106</v>
      </c>
      <c r="E45" s="23" cm="1">
        <f t="array" ref="E45">_xlfn.IFS(D45="","",D45="No interest",0,D45="Nice to have",1,D45="Useful",2,D45="Important",3,D45="Very important",4,D45="Critical",5,D45="Show stopper",6)</f>
        <v>5</v>
      </c>
      <c r="F45" s="24">
        <f t="shared" si="2"/>
        <v>1.7482517482517484E-2</v>
      </c>
      <c r="G45" s="25" t="s">
        <v>403</v>
      </c>
      <c r="H45" s="25" t="str" cm="1">
        <f t="array" ref="H45">_xlfn.TEXTJOIN(" "&amp;CHAR(10),,TEXT(SUBSTITUTE(Table2511[[#This Row],[12]:[22]],".",","),"0,00%"))</f>
        <v>0,0174825174825175 
0,00874125874125874 
0,00%</v>
      </c>
      <c r="I45" s="26" t="s">
        <v>404</v>
      </c>
      <c r="J45" s="27">
        <f>F45-(F45*((MATCH(Table2511[[#This Row],[Evaluators Response (SELECT)]],Table2511[[#This Row],[1]:[11]],0)-1)/(COUNTA(Table2511[[#This Row],[1]:[11]])-COUNTBLANK(Table2511[[#This Row],[1]:[11]])-1)))</f>
        <v>0</v>
      </c>
      <c r="K45" s="28"/>
      <c r="L45" s="41" t="str" cm="1">
        <f t="array" ref="L45">IFERROR(INDEX(_xlfn.UNIQUE(TRIM(_xlfn.TEXTSPLIT(Table2511[[#This Row],[Selection Option]:[Selection Option]],";"))),,L$12),"")</f>
        <v>1. Extensive functionality available</v>
      </c>
      <c r="M45" s="41" t="str" cm="1">
        <f t="array" ref="M45">IFERROR(INDEX(_xlfn.UNIQUE(TRIM(_xlfn.TEXTSPLIT(Table2511[[#This Row],[Selection Option]:[Selection Option]],";"))),,M$12),"")</f>
        <v xml:space="preserve">
2. Limited functionality available</v>
      </c>
      <c r="N45" s="41" t="str" cm="1">
        <f t="array" ref="N45">IFERROR(INDEX(_xlfn.UNIQUE(TRIM(_xlfn.TEXTSPLIT(Table2511[[#This Row],[Selection Option]:[Selection Option]],";"))),,N$12),"")</f>
        <v xml:space="preserve">
3. Functionality not available</v>
      </c>
      <c r="O45" s="41" t="str" cm="1">
        <f t="array" ref="O45">IFERROR(INDEX(_xlfn.UNIQUE(TRIM(_xlfn.TEXTSPLIT(Table2511[[#This Row],[Selection Option]:[Selection Option]],";"))),,O$12),"")</f>
        <v/>
      </c>
      <c r="P45" s="41" t="str" cm="1">
        <f t="array" ref="P45">IFERROR(INDEX(_xlfn.UNIQUE(TRIM(_xlfn.TEXTSPLIT(Table2511[[#This Row],[Selection Option]:[Selection Option]],";"))),,P$12),"")</f>
        <v/>
      </c>
      <c r="Q45" s="41" t="str" cm="1">
        <f t="array" ref="Q45">IFERROR(INDEX(_xlfn.UNIQUE(TRIM(_xlfn.TEXTSPLIT(Table2511[[#This Row],[Selection Option]:[Selection Option]],";"))),,Q$12),"")</f>
        <v/>
      </c>
      <c r="R45" s="41" t="str" cm="1">
        <f t="array" ref="R45">IFERROR(INDEX(_xlfn.UNIQUE(TRIM(_xlfn.TEXTSPLIT(Table2511[[#This Row],[Selection Option]:[Selection Option]],";"))),,R$12),"")</f>
        <v/>
      </c>
      <c r="S45" s="41" t="str" cm="1">
        <f t="array" ref="S45">IFERROR(INDEX(_xlfn.UNIQUE(TRIM(_xlfn.TEXTSPLIT(Table2511[[#This Row],[Selection Option]:[Selection Option]],";"))),,S$12),"")</f>
        <v/>
      </c>
      <c r="T45" s="41" t="str" cm="1">
        <f t="array" ref="T45">IFERROR(INDEX(_xlfn.UNIQUE(TRIM(_xlfn.TEXTSPLIT(Table2511[[#This Row],[Selection Option]:[Selection Option]],";"))),,T$12),"")</f>
        <v/>
      </c>
      <c r="U45" s="41" t="str" cm="1">
        <f t="array" ref="U45">IFERROR(INDEX(_xlfn.UNIQUE(TRIM(_xlfn.TEXTSPLIT(Table2511[[#This Row],[Selection Option]:[Selection Option]],";"))),,U$12),"")</f>
        <v/>
      </c>
      <c r="V45" s="41" t="str" cm="1">
        <f t="array" ref="V45">IFERROR(INDEX(_xlfn.UNIQUE(TRIM(_xlfn.TEXTSPLIT(Table2511[[#This Row],[Selection Option]:[Selection Option]],";"))),,V$12),"")</f>
        <v/>
      </c>
      <c r="W45" s="30" cm="1">
        <f t="array" ref="W45">IF(Table2511[[#This Row],[1]]="","",Table2511[[#This Row],[Weight]:[Weight]]-(Table2511[[#This Row],[Weight]:[Weight]]*((_xlfn.XMATCH(Table2511[[#This Row],[1]],Table2511[[#This Row],[1]:[11]],0))-1)/(COUNTA(Table2511[[#This Row],[1]:[11]])-COUNTBLANK(Table2511[[#This Row],[1]:[11]])-1)))</f>
        <v>1.7482517482517484E-2</v>
      </c>
      <c r="X45" s="30" cm="1">
        <f t="array" ref="X45">IF(Table2511[[#This Row],[2]]="","",Table2511[[#This Row],[Weight]:[Weight]]-(Table2511[[#This Row],[Weight]:[Weight]]*((_xlfn.XMATCH(Table2511[[#This Row],[2]],Table2511[[#This Row],[1]:[11]],0))-1)/(COUNTA(Table2511[[#This Row],[1]:[11]])-COUNTBLANK(Table2511[[#This Row],[1]:[11]])-1)))</f>
        <v>8.7412587412587419E-3</v>
      </c>
      <c r="Y45" s="30" cm="1">
        <f t="array" ref="Y45">IF(Table2511[[#This Row],[3]]="","",Table2511[[#This Row],[Weight]:[Weight]]-(Table2511[[#This Row],[Weight]:[Weight]]*((_xlfn.XMATCH(Table2511[[#This Row],[3]],Table2511[[#This Row],[1]:[11]],0))-1)/(COUNTA(Table2511[[#This Row],[1]:[11]])-COUNTBLANK(Table2511[[#This Row],[1]:[11]])-1)))</f>
        <v>0</v>
      </c>
      <c r="Z45" s="30" t="str" cm="1">
        <f t="array" ref="Z45">IF(Table2511[[#This Row],[4]]="","",Table2511[[#This Row],[Weight]:[Weight]]-(Table2511[[#This Row],[Weight]:[Weight]]*((_xlfn.XMATCH(Table2511[[#This Row],[4]],Table2511[[#This Row],[1]:[11]],0))-1)/(COUNTA(Table2511[[#This Row],[1]:[11]])-COUNTBLANK(Table2511[[#This Row],[1]:[11]])-1)))</f>
        <v/>
      </c>
      <c r="AA45" s="30" t="str" cm="1">
        <f t="array" ref="AA45">IF(Table2511[[#This Row],[5]]="","",Table2511[[#This Row],[Weight]:[Weight]]-(Table2511[[#This Row],[Weight]:[Weight]]*((_xlfn.XMATCH(Table2511[[#This Row],[5]],Table2511[[#This Row],[1]:[11]],0))-1)/(COUNTA(Table2511[[#This Row],[1]:[11]])-COUNTBLANK(Table2511[[#This Row],[1]:[11]])-1)))</f>
        <v/>
      </c>
      <c r="AB45" s="30" t="str" cm="1">
        <f t="array" ref="AB45">IF(Table2511[[#This Row],[6]]="","",Table2511[[#This Row],[Weight]:[Weight]]-(Table2511[[#This Row],[Weight]:[Weight]]*((_xlfn.XMATCH(Table2511[[#This Row],[6]],Table2511[[#This Row],[1]:[11]],0))-1)/(COUNTA(Table2511[[#This Row],[1]:[11]])-COUNTBLANK(Table2511[[#This Row],[1]:[11]])-1)))</f>
        <v/>
      </c>
      <c r="AC45" s="30" t="str" cm="1">
        <f t="array" ref="AC45">IF(Table2511[[#This Row],[7]]="","",Table2511[[#This Row],[Weight]:[Weight]]-(Table2511[[#This Row],[Weight]:[Weight]]*((_xlfn.XMATCH(Table2511[[#This Row],[7]],Table2511[[#This Row],[1]:[11]],0))-1)/(COUNTA(Table2511[[#This Row],[1]:[11]])-COUNTBLANK(Table2511[[#This Row],[1]:[11]])-1)))</f>
        <v/>
      </c>
      <c r="AD45" s="30" t="str" cm="1">
        <f t="array" ref="AD45">IF(Table2511[[#This Row],[8]]="","",Table2511[[#This Row],[Weight]:[Weight]]-(Table2511[[#This Row],[Weight]:[Weight]]*((_xlfn.XMATCH(Table2511[[#This Row],[8]],Table2511[[#This Row],[1]:[11]],0))-1)/(COUNTA(Table2511[[#This Row],[1]:[11]])-COUNTBLANK(Table2511[[#This Row],[1]:[11]])-1)))</f>
        <v/>
      </c>
      <c r="AE45" s="41" t="str" cm="1">
        <f t="array" ref="AE45">IF(Table2511[[#This Row],[9]]="","",Table2511[[#This Row],[Weight]:[Weight]]-(Table2511[[#This Row],[Weight]:[Weight]]*((_xlfn.XMATCH(Table2511[[#This Row],[9]],Table2511[[#This Row],[1]:[11]],0))-1)/(COUNTA(Table2511[[#This Row],[1]:[11]])-COUNTBLANK(Table2511[[#This Row],[1]:[11]])-1)))</f>
        <v/>
      </c>
      <c r="AF45" s="41" t="str" cm="1">
        <f t="array" ref="AF45">IF(Table2511[[#This Row],[10]]="","",Table2511[[#This Row],[Weight]:[Weight]]-(Table2511[[#This Row],[Weight]:[Weight]]*((_xlfn.XMATCH(Table2511[[#This Row],[10]],Table2511[[#This Row],[1]:[11]],0))-1)/(COUNTA(Table2511[[#This Row],[1]:[11]])-COUNTBLANK(Table2511[[#This Row],[1]:[11]])-1)))</f>
        <v/>
      </c>
      <c r="AG45" s="41" t="str" cm="1">
        <f t="array" ref="AG45">IF(Table2511[[#This Row],[11]]="","",Table2511[[#This Row],[Weight]:[Weight]]-(Table2511[[#This Row],[Weight]:[Weight]]*((_xlfn.XMATCH(Table2511[[#This Row],[11]],Table2511[[#This Row],[1]:[11]],0))-1)/(COUNTA(Table2511[[#This Row],[1]:[11]])-COUNTBLANK(Table2511[[#This Row],[1]:[11]])-1)))</f>
        <v/>
      </c>
    </row>
    <row r="46" spans="1:33" ht="72" x14ac:dyDescent="0.2">
      <c r="A46" s="117" t="s">
        <v>213</v>
      </c>
      <c r="B46" s="184" t="s">
        <v>214</v>
      </c>
      <c r="C46" s="204" t="s">
        <v>215</v>
      </c>
      <c r="D46" s="22" t="s">
        <v>106</v>
      </c>
      <c r="E46" s="23" cm="1">
        <f t="array" ref="E46">_xlfn.IFS(D46="","",D46="No interest",0,D46="Nice to have",1,D46="Useful",2,D46="Important",3,D46="Very important",4,D46="Critical",5,D46="Show stopper",6)</f>
        <v>5</v>
      </c>
      <c r="F46" s="24">
        <f t="shared" si="2"/>
        <v>1.7482517482517484E-2</v>
      </c>
      <c r="G46" s="25" t="s">
        <v>403</v>
      </c>
      <c r="H46" s="25" t="str" cm="1">
        <f t="array" ref="H46">_xlfn.TEXTJOIN(" "&amp;CHAR(10),,TEXT(SUBSTITUTE(Table2511[[#This Row],[12]:[22]],".",","),"0,00%"))</f>
        <v>0,0174825174825175 
0,00874125874125874 
0,00%</v>
      </c>
      <c r="I46" s="26" t="s">
        <v>404</v>
      </c>
      <c r="J46" s="27">
        <f>F46-(F46*((MATCH(Table2511[[#This Row],[Evaluators Response (SELECT)]],Table2511[[#This Row],[1]:[11]],0)-1)/(COUNTA(Table2511[[#This Row],[1]:[11]])-COUNTBLANK(Table2511[[#This Row],[1]:[11]])-1)))</f>
        <v>0</v>
      </c>
      <c r="K46" s="28"/>
      <c r="L46" s="41" t="str" cm="1">
        <f t="array" ref="L46">IFERROR(INDEX(_xlfn.UNIQUE(TRIM(_xlfn.TEXTSPLIT(Table2511[[#This Row],[Selection Option]:[Selection Option]],";"))),,L$12),"")</f>
        <v>1. Extensive functionality available</v>
      </c>
      <c r="M46" s="41" t="str" cm="1">
        <f t="array" ref="M46">IFERROR(INDEX(_xlfn.UNIQUE(TRIM(_xlfn.TEXTSPLIT(Table2511[[#This Row],[Selection Option]:[Selection Option]],";"))),,M$12),"")</f>
        <v xml:space="preserve">
2. Limited functionality available</v>
      </c>
      <c r="N46" s="41" t="str" cm="1">
        <f t="array" ref="N46">IFERROR(INDEX(_xlfn.UNIQUE(TRIM(_xlfn.TEXTSPLIT(Table2511[[#This Row],[Selection Option]:[Selection Option]],";"))),,N$12),"")</f>
        <v xml:space="preserve">
3. Functionality not available</v>
      </c>
      <c r="O46" s="41" t="str" cm="1">
        <f t="array" ref="O46">IFERROR(INDEX(_xlfn.UNIQUE(TRIM(_xlfn.TEXTSPLIT(Table2511[[#This Row],[Selection Option]:[Selection Option]],";"))),,O$12),"")</f>
        <v/>
      </c>
      <c r="P46" s="41" t="str" cm="1">
        <f t="array" ref="P46">IFERROR(INDEX(_xlfn.UNIQUE(TRIM(_xlfn.TEXTSPLIT(Table2511[[#This Row],[Selection Option]:[Selection Option]],";"))),,P$12),"")</f>
        <v/>
      </c>
      <c r="Q46" s="41" t="str" cm="1">
        <f t="array" ref="Q46">IFERROR(INDEX(_xlfn.UNIQUE(TRIM(_xlfn.TEXTSPLIT(Table2511[[#This Row],[Selection Option]:[Selection Option]],";"))),,Q$12),"")</f>
        <v/>
      </c>
      <c r="R46" s="41" t="str" cm="1">
        <f t="array" ref="R46">IFERROR(INDEX(_xlfn.UNIQUE(TRIM(_xlfn.TEXTSPLIT(Table2511[[#This Row],[Selection Option]:[Selection Option]],";"))),,R$12),"")</f>
        <v/>
      </c>
      <c r="S46" s="41" t="str" cm="1">
        <f t="array" ref="S46">IFERROR(INDEX(_xlfn.UNIQUE(TRIM(_xlfn.TEXTSPLIT(Table2511[[#This Row],[Selection Option]:[Selection Option]],";"))),,S$12),"")</f>
        <v/>
      </c>
      <c r="T46" s="41" t="str" cm="1">
        <f t="array" ref="T46">IFERROR(INDEX(_xlfn.UNIQUE(TRIM(_xlfn.TEXTSPLIT(Table2511[[#This Row],[Selection Option]:[Selection Option]],";"))),,T$12),"")</f>
        <v/>
      </c>
      <c r="U46" s="41" t="str" cm="1">
        <f t="array" ref="U46">IFERROR(INDEX(_xlfn.UNIQUE(TRIM(_xlfn.TEXTSPLIT(Table2511[[#This Row],[Selection Option]:[Selection Option]],";"))),,U$12),"")</f>
        <v/>
      </c>
      <c r="V46" s="41" t="str" cm="1">
        <f t="array" ref="V46">IFERROR(INDEX(_xlfn.UNIQUE(TRIM(_xlfn.TEXTSPLIT(Table2511[[#This Row],[Selection Option]:[Selection Option]],";"))),,V$12),"")</f>
        <v/>
      </c>
      <c r="W46" s="30" cm="1">
        <f t="array" ref="W46">IF(Table2511[[#This Row],[1]]="","",Table2511[[#This Row],[Weight]:[Weight]]-(Table2511[[#This Row],[Weight]:[Weight]]*((_xlfn.XMATCH(Table2511[[#This Row],[1]],Table2511[[#This Row],[1]:[11]],0))-1)/(COUNTA(Table2511[[#This Row],[1]:[11]])-COUNTBLANK(Table2511[[#This Row],[1]:[11]])-1)))</f>
        <v>1.7482517482517484E-2</v>
      </c>
      <c r="X46" s="30" cm="1">
        <f t="array" ref="X46">IF(Table2511[[#This Row],[2]]="","",Table2511[[#This Row],[Weight]:[Weight]]-(Table2511[[#This Row],[Weight]:[Weight]]*((_xlfn.XMATCH(Table2511[[#This Row],[2]],Table2511[[#This Row],[1]:[11]],0))-1)/(COUNTA(Table2511[[#This Row],[1]:[11]])-COUNTBLANK(Table2511[[#This Row],[1]:[11]])-1)))</f>
        <v>8.7412587412587419E-3</v>
      </c>
      <c r="Y46" s="30" cm="1">
        <f t="array" ref="Y46">IF(Table2511[[#This Row],[3]]="","",Table2511[[#This Row],[Weight]:[Weight]]-(Table2511[[#This Row],[Weight]:[Weight]]*((_xlfn.XMATCH(Table2511[[#This Row],[3]],Table2511[[#This Row],[1]:[11]],0))-1)/(COUNTA(Table2511[[#This Row],[1]:[11]])-COUNTBLANK(Table2511[[#This Row],[1]:[11]])-1)))</f>
        <v>0</v>
      </c>
      <c r="Z46" s="30" t="str" cm="1">
        <f t="array" ref="Z46">IF(Table2511[[#This Row],[4]]="","",Table2511[[#This Row],[Weight]:[Weight]]-(Table2511[[#This Row],[Weight]:[Weight]]*((_xlfn.XMATCH(Table2511[[#This Row],[4]],Table2511[[#This Row],[1]:[11]],0))-1)/(COUNTA(Table2511[[#This Row],[1]:[11]])-COUNTBLANK(Table2511[[#This Row],[1]:[11]])-1)))</f>
        <v/>
      </c>
      <c r="AA46" s="30" t="str" cm="1">
        <f t="array" ref="AA46">IF(Table2511[[#This Row],[5]]="","",Table2511[[#This Row],[Weight]:[Weight]]-(Table2511[[#This Row],[Weight]:[Weight]]*((_xlfn.XMATCH(Table2511[[#This Row],[5]],Table2511[[#This Row],[1]:[11]],0))-1)/(COUNTA(Table2511[[#This Row],[1]:[11]])-COUNTBLANK(Table2511[[#This Row],[1]:[11]])-1)))</f>
        <v/>
      </c>
      <c r="AB46" s="30" t="str" cm="1">
        <f t="array" ref="AB46">IF(Table2511[[#This Row],[6]]="","",Table2511[[#This Row],[Weight]:[Weight]]-(Table2511[[#This Row],[Weight]:[Weight]]*((_xlfn.XMATCH(Table2511[[#This Row],[6]],Table2511[[#This Row],[1]:[11]],0))-1)/(COUNTA(Table2511[[#This Row],[1]:[11]])-COUNTBLANK(Table2511[[#This Row],[1]:[11]])-1)))</f>
        <v/>
      </c>
      <c r="AC46" s="30" t="str" cm="1">
        <f t="array" ref="AC46">IF(Table2511[[#This Row],[7]]="","",Table2511[[#This Row],[Weight]:[Weight]]-(Table2511[[#This Row],[Weight]:[Weight]]*((_xlfn.XMATCH(Table2511[[#This Row],[7]],Table2511[[#This Row],[1]:[11]],0))-1)/(COUNTA(Table2511[[#This Row],[1]:[11]])-COUNTBLANK(Table2511[[#This Row],[1]:[11]])-1)))</f>
        <v/>
      </c>
      <c r="AD46" s="30" t="str" cm="1">
        <f t="array" ref="AD46">IF(Table2511[[#This Row],[8]]="","",Table2511[[#This Row],[Weight]:[Weight]]-(Table2511[[#This Row],[Weight]:[Weight]]*((_xlfn.XMATCH(Table2511[[#This Row],[8]],Table2511[[#This Row],[1]:[11]],0))-1)/(COUNTA(Table2511[[#This Row],[1]:[11]])-COUNTBLANK(Table2511[[#This Row],[1]:[11]])-1)))</f>
        <v/>
      </c>
      <c r="AE46" s="41" t="str" cm="1">
        <f t="array" ref="AE46">IF(Table2511[[#This Row],[9]]="","",Table2511[[#This Row],[Weight]:[Weight]]-(Table2511[[#This Row],[Weight]:[Weight]]*((_xlfn.XMATCH(Table2511[[#This Row],[9]],Table2511[[#This Row],[1]:[11]],0))-1)/(COUNTA(Table2511[[#This Row],[1]:[11]])-COUNTBLANK(Table2511[[#This Row],[1]:[11]])-1)))</f>
        <v/>
      </c>
      <c r="AF46" s="41" t="str" cm="1">
        <f t="array" ref="AF46">IF(Table2511[[#This Row],[10]]="","",Table2511[[#This Row],[Weight]:[Weight]]-(Table2511[[#This Row],[Weight]:[Weight]]*((_xlfn.XMATCH(Table2511[[#This Row],[10]],Table2511[[#This Row],[1]:[11]],0))-1)/(COUNTA(Table2511[[#This Row],[1]:[11]])-COUNTBLANK(Table2511[[#This Row],[1]:[11]])-1)))</f>
        <v/>
      </c>
      <c r="AG46" s="41" t="str" cm="1">
        <f t="array" ref="AG46">IF(Table2511[[#This Row],[11]]="","",Table2511[[#This Row],[Weight]:[Weight]]-(Table2511[[#This Row],[Weight]:[Weight]]*((_xlfn.XMATCH(Table2511[[#This Row],[11]],Table2511[[#This Row],[1]:[11]],0))-1)/(COUNTA(Table2511[[#This Row],[1]:[11]])-COUNTBLANK(Table2511[[#This Row],[1]:[11]])-1)))</f>
        <v/>
      </c>
    </row>
    <row r="47" spans="1:33" ht="72" x14ac:dyDescent="0.2">
      <c r="A47" s="117" t="s">
        <v>216</v>
      </c>
      <c r="B47" s="21" t="s">
        <v>217</v>
      </c>
      <c r="C47" s="204" t="s">
        <v>218</v>
      </c>
      <c r="D47" s="22" t="s">
        <v>60</v>
      </c>
      <c r="E47" s="23" cm="1">
        <f t="array" ref="E47">_xlfn.IFS(D47="","",D47="No interest",0,D47="Nice to have",1,D47="Useful",2,D47="Important",3,D47="Very important",4,D47="Critical",5,D47="Show stopper",6)</f>
        <v>6</v>
      </c>
      <c r="F47" s="24">
        <f t="shared" si="0"/>
        <v>2.097902097902098E-2</v>
      </c>
      <c r="G47" s="25" t="s">
        <v>403</v>
      </c>
      <c r="H47" s="25" t="str" cm="1">
        <f t="array" ref="H47">_xlfn.TEXTJOIN(" "&amp;CHAR(10),,TEXT(SUBSTITUTE(Table2511[[#This Row],[12]:[22]],".",","),"0,00%"))</f>
        <v>0,020979020979021 
0,0104895104895105 
0,00%</v>
      </c>
      <c r="I47" s="26" t="s">
        <v>404</v>
      </c>
      <c r="J47" s="27">
        <f>F47-(F47*((MATCH(Table2511[[#This Row],[Evaluators Response (SELECT)]],Table2511[[#This Row],[1]:[11]],0)-1)/(COUNTA(Table2511[[#This Row],[1]:[11]])-COUNTBLANK(Table2511[[#This Row],[1]:[11]])-1)))</f>
        <v>0</v>
      </c>
      <c r="K47" s="28"/>
      <c r="L47" s="41" t="str" cm="1">
        <f t="array" ref="L47">IFERROR(INDEX(_xlfn.UNIQUE(TRIM(_xlfn.TEXTSPLIT(Table2511[[#This Row],[Selection Option]:[Selection Option]],";"))),,L$12),"")</f>
        <v>1. Extensive functionality available</v>
      </c>
      <c r="M47" s="41" t="str" cm="1">
        <f t="array" ref="M47">IFERROR(INDEX(_xlfn.UNIQUE(TRIM(_xlfn.TEXTSPLIT(Table2511[[#This Row],[Selection Option]:[Selection Option]],";"))),,M$12),"")</f>
        <v xml:space="preserve">
2. Limited functionality available</v>
      </c>
      <c r="N47" s="41" t="str" cm="1">
        <f t="array" ref="N47">IFERROR(INDEX(_xlfn.UNIQUE(TRIM(_xlfn.TEXTSPLIT(Table2511[[#This Row],[Selection Option]:[Selection Option]],";"))),,N$12),"")</f>
        <v xml:space="preserve">
3. Functionality not available</v>
      </c>
      <c r="O47" s="41" t="str" cm="1">
        <f t="array" ref="O47">IFERROR(INDEX(_xlfn.UNIQUE(TRIM(_xlfn.TEXTSPLIT(Table2511[[#This Row],[Selection Option]:[Selection Option]],";"))),,O$12),"")</f>
        <v/>
      </c>
      <c r="P47" s="41" t="str" cm="1">
        <f t="array" ref="P47">IFERROR(INDEX(_xlfn.UNIQUE(TRIM(_xlfn.TEXTSPLIT(Table2511[[#This Row],[Selection Option]:[Selection Option]],";"))),,P$12),"")</f>
        <v/>
      </c>
      <c r="Q47" s="41" t="str" cm="1">
        <f t="array" ref="Q47">IFERROR(INDEX(_xlfn.UNIQUE(TRIM(_xlfn.TEXTSPLIT(Table2511[[#This Row],[Selection Option]:[Selection Option]],";"))),,Q$12),"")</f>
        <v/>
      </c>
      <c r="R47" s="41" t="str" cm="1">
        <f t="array" ref="R47">IFERROR(INDEX(_xlfn.UNIQUE(TRIM(_xlfn.TEXTSPLIT(Table2511[[#This Row],[Selection Option]:[Selection Option]],";"))),,R$12),"")</f>
        <v/>
      </c>
      <c r="S47" s="41" t="str" cm="1">
        <f t="array" ref="S47">IFERROR(INDEX(_xlfn.UNIQUE(TRIM(_xlfn.TEXTSPLIT(Table2511[[#This Row],[Selection Option]:[Selection Option]],";"))),,S$12),"")</f>
        <v/>
      </c>
      <c r="T47" s="41" t="str" cm="1">
        <f t="array" ref="T47">IFERROR(INDEX(_xlfn.UNIQUE(TRIM(_xlfn.TEXTSPLIT(Table2511[[#This Row],[Selection Option]:[Selection Option]],";"))),,T$12),"")</f>
        <v/>
      </c>
      <c r="U47" s="41" t="str" cm="1">
        <f t="array" ref="U47">IFERROR(INDEX(_xlfn.UNIQUE(TRIM(_xlfn.TEXTSPLIT(Table2511[[#This Row],[Selection Option]:[Selection Option]],";"))),,U$12),"")</f>
        <v/>
      </c>
      <c r="V47" s="41" t="str" cm="1">
        <f t="array" ref="V47">IFERROR(INDEX(_xlfn.UNIQUE(TRIM(_xlfn.TEXTSPLIT(Table2511[[#This Row],[Selection Option]:[Selection Option]],";"))),,V$12),"")</f>
        <v/>
      </c>
      <c r="W47" s="30" cm="1">
        <f t="array" ref="W47">IF(Table2511[[#This Row],[1]]="","",Table2511[[#This Row],[Weight]:[Weight]]-(Table2511[[#This Row],[Weight]:[Weight]]*((_xlfn.XMATCH(Table2511[[#This Row],[1]],Table2511[[#This Row],[1]:[11]],0))-1)/(COUNTA(Table2511[[#This Row],[1]:[11]])-COUNTBLANK(Table2511[[#This Row],[1]:[11]])-1)))</f>
        <v>2.097902097902098E-2</v>
      </c>
      <c r="X47" s="30" cm="1">
        <f t="array" ref="X47">IF(Table2511[[#This Row],[2]]="","",Table2511[[#This Row],[Weight]:[Weight]]-(Table2511[[#This Row],[Weight]:[Weight]]*((_xlfn.XMATCH(Table2511[[#This Row],[2]],Table2511[[#This Row],[1]:[11]],0))-1)/(COUNTA(Table2511[[#This Row],[1]:[11]])-COUNTBLANK(Table2511[[#This Row],[1]:[11]])-1)))</f>
        <v>1.048951048951049E-2</v>
      </c>
      <c r="Y47" s="30" cm="1">
        <f t="array" ref="Y47">IF(Table2511[[#This Row],[3]]="","",Table2511[[#This Row],[Weight]:[Weight]]-(Table2511[[#This Row],[Weight]:[Weight]]*((_xlfn.XMATCH(Table2511[[#This Row],[3]],Table2511[[#This Row],[1]:[11]],0))-1)/(COUNTA(Table2511[[#This Row],[1]:[11]])-COUNTBLANK(Table2511[[#This Row],[1]:[11]])-1)))</f>
        <v>0</v>
      </c>
      <c r="Z47" s="30" t="str" cm="1">
        <f t="array" ref="Z47">IF(Table2511[[#This Row],[4]]="","",Table2511[[#This Row],[Weight]:[Weight]]-(Table2511[[#This Row],[Weight]:[Weight]]*((_xlfn.XMATCH(Table2511[[#This Row],[4]],Table2511[[#This Row],[1]:[11]],0))-1)/(COUNTA(Table2511[[#This Row],[1]:[11]])-COUNTBLANK(Table2511[[#This Row],[1]:[11]])-1)))</f>
        <v/>
      </c>
      <c r="AA47" s="30" t="str" cm="1">
        <f t="array" ref="AA47">IF(Table2511[[#This Row],[5]]="","",Table2511[[#This Row],[Weight]:[Weight]]-(Table2511[[#This Row],[Weight]:[Weight]]*((_xlfn.XMATCH(Table2511[[#This Row],[5]],Table2511[[#This Row],[1]:[11]],0))-1)/(COUNTA(Table2511[[#This Row],[1]:[11]])-COUNTBLANK(Table2511[[#This Row],[1]:[11]])-1)))</f>
        <v/>
      </c>
      <c r="AB47" s="30" t="str" cm="1">
        <f t="array" ref="AB47">IF(Table2511[[#This Row],[6]]="","",Table2511[[#This Row],[Weight]:[Weight]]-(Table2511[[#This Row],[Weight]:[Weight]]*((_xlfn.XMATCH(Table2511[[#This Row],[6]],Table2511[[#This Row],[1]:[11]],0))-1)/(COUNTA(Table2511[[#This Row],[1]:[11]])-COUNTBLANK(Table2511[[#This Row],[1]:[11]])-1)))</f>
        <v/>
      </c>
      <c r="AC47" s="30" t="str" cm="1">
        <f t="array" ref="AC47">IF(Table2511[[#This Row],[7]]="","",Table2511[[#This Row],[Weight]:[Weight]]-(Table2511[[#This Row],[Weight]:[Weight]]*((_xlfn.XMATCH(Table2511[[#This Row],[7]],Table2511[[#This Row],[1]:[11]],0))-1)/(COUNTA(Table2511[[#This Row],[1]:[11]])-COUNTBLANK(Table2511[[#This Row],[1]:[11]])-1)))</f>
        <v/>
      </c>
      <c r="AD47" s="30" t="str" cm="1">
        <f t="array" ref="AD47">IF(Table2511[[#This Row],[8]]="","",Table2511[[#This Row],[Weight]:[Weight]]-(Table2511[[#This Row],[Weight]:[Weight]]*((_xlfn.XMATCH(Table2511[[#This Row],[8]],Table2511[[#This Row],[1]:[11]],0))-1)/(COUNTA(Table2511[[#This Row],[1]:[11]])-COUNTBLANK(Table2511[[#This Row],[1]:[11]])-1)))</f>
        <v/>
      </c>
      <c r="AE47" s="41" t="str" cm="1">
        <f t="array" ref="AE47">IF(Table2511[[#This Row],[9]]="","",Table2511[[#This Row],[Weight]:[Weight]]-(Table2511[[#This Row],[Weight]:[Weight]]*((_xlfn.XMATCH(Table2511[[#This Row],[9]],Table2511[[#This Row],[1]:[11]],0))-1)/(COUNTA(Table2511[[#This Row],[1]:[11]])-COUNTBLANK(Table2511[[#This Row],[1]:[11]])-1)))</f>
        <v/>
      </c>
      <c r="AF47" s="41" t="str" cm="1">
        <f t="array" ref="AF47">IF(Table2511[[#This Row],[10]]="","",Table2511[[#This Row],[Weight]:[Weight]]-(Table2511[[#This Row],[Weight]:[Weight]]*((_xlfn.XMATCH(Table2511[[#This Row],[10]],Table2511[[#This Row],[1]:[11]],0))-1)/(COUNTA(Table2511[[#This Row],[1]:[11]])-COUNTBLANK(Table2511[[#This Row],[1]:[11]])-1)))</f>
        <v/>
      </c>
      <c r="AG47" s="41" t="str" cm="1">
        <f t="array" ref="AG47">IF(Table2511[[#This Row],[11]]="","",Table2511[[#This Row],[Weight]:[Weight]]-(Table2511[[#This Row],[Weight]:[Weight]]*((_xlfn.XMATCH(Table2511[[#This Row],[11]],Table2511[[#This Row],[1]:[11]],0))-1)/(COUNTA(Table2511[[#This Row],[1]:[11]])-COUNTBLANK(Table2511[[#This Row],[1]:[11]])-1)))</f>
        <v/>
      </c>
    </row>
    <row r="48" spans="1:33" ht="72" x14ac:dyDescent="0.2">
      <c r="A48" s="117" t="s">
        <v>219</v>
      </c>
      <c r="B48" s="21" t="s">
        <v>220</v>
      </c>
      <c r="C48" s="204" t="s">
        <v>221</v>
      </c>
      <c r="D48" s="22" t="s">
        <v>60</v>
      </c>
      <c r="E48" s="23" cm="1">
        <f t="array" ref="E48">_xlfn.IFS(D48="","",D48="No interest",0,D48="Nice to have",1,D48="Useful",2,D48="Important",3,D48="Very important",4,D48="Critical",5,D48="Show stopper",6)</f>
        <v>6</v>
      </c>
      <c r="F48" s="24">
        <f t="shared" si="0"/>
        <v>2.097902097902098E-2</v>
      </c>
      <c r="G48" s="25" t="s">
        <v>403</v>
      </c>
      <c r="H48" s="25" t="str" cm="1">
        <f t="array" ref="H48">_xlfn.TEXTJOIN(" "&amp;CHAR(10),,TEXT(SUBSTITUTE(Table2511[[#This Row],[12]:[22]],".",","),"0,00%"))</f>
        <v>0,020979020979021 
0,0104895104895105 
0,00%</v>
      </c>
      <c r="I48" s="26" t="s">
        <v>404</v>
      </c>
      <c r="J48" s="27">
        <f>F48-(F48*((MATCH(Table2511[[#This Row],[Evaluators Response (SELECT)]],Table2511[[#This Row],[1]:[11]],0)-1)/(COUNTA(Table2511[[#This Row],[1]:[11]])-COUNTBLANK(Table2511[[#This Row],[1]:[11]])-1)))</f>
        <v>0</v>
      </c>
      <c r="K48" s="28"/>
      <c r="L48" s="41" t="str" cm="1">
        <f t="array" ref="L48">IFERROR(INDEX(_xlfn.UNIQUE(TRIM(_xlfn.TEXTSPLIT(Table2511[[#This Row],[Selection Option]:[Selection Option]],";"))),,L$12),"")</f>
        <v>1. Extensive functionality available</v>
      </c>
      <c r="M48" s="41" t="str" cm="1">
        <f t="array" ref="M48">IFERROR(INDEX(_xlfn.UNIQUE(TRIM(_xlfn.TEXTSPLIT(Table2511[[#This Row],[Selection Option]:[Selection Option]],";"))),,M$12),"")</f>
        <v xml:space="preserve">
2. Limited functionality available</v>
      </c>
      <c r="N48" s="41" t="str" cm="1">
        <f t="array" ref="N48">IFERROR(INDEX(_xlfn.UNIQUE(TRIM(_xlfn.TEXTSPLIT(Table2511[[#This Row],[Selection Option]:[Selection Option]],";"))),,N$12),"")</f>
        <v xml:space="preserve">
3. Functionality not available</v>
      </c>
      <c r="O48" s="41" t="str" cm="1">
        <f t="array" ref="O48">IFERROR(INDEX(_xlfn.UNIQUE(TRIM(_xlfn.TEXTSPLIT(Table2511[[#This Row],[Selection Option]:[Selection Option]],";"))),,O$12),"")</f>
        <v/>
      </c>
      <c r="P48" s="41" t="str" cm="1">
        <f t="array" ref="P48">IFERROR(INDEX(_xlfn.UNIQUE(TRIM(_xlfn.TEXTSPLIT(Table2511[[#This Row],[Selection Option]:[Selection Option]],";"))),,P$12),"")</f>
        <v/>
      </c>
      <c r="Q48" s="41" t="str" cm="1">
        <f t="array" ref="Q48">IFERROR(INDEX(_xlfn.UNIQUE(TRIM(_xlfn.TEXTSPLIT(Table2511[[#This Row],[Selection Option]:[Selection Option]],";"))),,Q$12),"")</f>
        <v/>
      </c>
      <c r="R48" s="41" t="str" cm="1">
        <f t="array" ref="R48">IFERROR(INDEX(_xlfn.UNIQUE(TRIM(_xlfn.TEXTSPLIT(Table2511[[#This Row],[Selection Option]:[Selection Option]],";"))),,R$12),"")</f>
        <v/>
      </c>
      <c r="S48" s="41" t="str" cm="1">
        <f t="array" ref="S48">IFERROR(INDEX(_xlfn.UNIQUE(TRIM(_xlfn.TEXTSPLIT(Table2511[[#This Row],[Selection Option]:[Selection Option]],";"))),,S$12),"")</f>
        <v/>
      </c>
      <c r="T48" s="41" t="str" cm="1">
        <f t="array" ref="T48">IFERROR(INDEX(_xlfn.UNIQUE(TRIM(_xlfn.TEXTSPLIT(Table2511[[#This Row],[Selection Option]:[Selection Option]],";"))),,T$12),"")</f>
        <v/>
      </c>
      <c r="U48" s="41" t="str" cm="1">
        <f t="array" ref="U48">IFERROR(INDEX(_xlfn.UNIQUE(TRIM(_xlfn.TEXTSPLIT(Table2511[[#This Row],[Selection Option]:[Selection Option]],";"))),,U$12),"")</f>
        <v/>
      </c>
      <c r="V48" s="41" t="str" cm="1">
        <f t="array" ref="V48">IFERROR(INDEX(_xlfn.UNIQUE(TRIM(_xlfn.TEXTSPLIT(Table2511[[#This Row],[Selection Option]:[Selection Option]],";"))),,V$12),"")</f>
        <v/>
      </c>
      <c r="W48" s="30" cm="1">
        <f t="array" ref="W48">IF(Table2511[[#This Row],[1]]="","",Table2511[[#This Row],[Weight]:[Weight]]-(Table2511[[#This Row],[Weight]:[Weight]]*((_xlfn.XMATCH(Table2511[[#This Row],[1]],Table2511[[#This Row],[1]:[11]],0))-1)/(COUNTA(Table2511[[#This Row],[1]:[11]])-COUNTBLANK(Table2511[[#This Row],[1]:[11]])-1)))</f>
        <v>2.097902097902098E-2</v>
      </c>
      <c r="X48" s="30" cm="1">
        <f t="array" ref="X48">IF(Table2511[[#This Row],[2]]="","",Table2511[[#This Row],[Weight]:[Weight]]-(Table2511[[#This Row],[Weight]:[Weight]]*((_xlfn.XMATCH(Table2511[[#This Row],[2]],Table2511[[#This Row],[1]:[11]],0))-1)/(COUNTA(Table2511[[#This Row],[1]:[11]])-COUNTBLANK(Table2511[[#This Row],[1]:[11]])-1)))</f>
        <v>1.048951048951049E-2</v>
      </c>
      <c r="Y48" s="30" cm="1">
        <f t="array" ref="Y48">IF(Table2511[[#This Row],[3]]="","",Table2511[[#This Row],[Weight]:[Weight]]-(Table2511[[#This Row],[Weight]:[Weight]]*((_xlfn.XMATCH(Table2511[[#This Row],[3]],Table2511[[#This Row],[1]:[11]],0))-1)/(COUNTA(Table2511[[#This Row],[1]:[11]])-COUNTBLANK(Table2511[[#This Row],[1]:[11]])-1)))</f>
        <v>0</v>
      </c>
      <c r="Z48" s="30" t="str" cm="1">
        <f t="array" ref="Z48">IF(Table2511[[#This Row],[4]]="","",Table2511[[#This Row],[Weight]:[Weight]]-(Table2511[[#This Row],[Weight]:[Weight]]*((_xlfn.XMATCH(Table2511[[#This Row],[4]],Table2511[[#This Row],[1]:[11]],0))-1)/(COUNTA(Table2511[[#This Row],[1]:[11]])-COUNTBLANK(Table2511[[#This Row],[1]:[11]])-1)))</f>
        <v/>
      </c>
      <c r="AA48" s="30" t="str" cm="1">
        <f t="array" ref="AA48">IF(Table2511[[#This Row],[5]]="","",Table2511[[#This Row],[Weight]:[Weight]]-(Table2511[[#This Row],[Weight]:[Weight]]*((_xlfn.XMATCH(Table2511[[#This Row],[5]],Table2511[[#This Row],[1]:[11]],0))-1)/(COUNTA(Table2511[[#This Row],[1]:[11]])-COUNTBLANK(Table2511[[#This Row],[1]:[11]])-1)))</f>
        <v/>
      </c>
      <c r="AB48" s="30" t="str" cm="1">
        <f t="array" ref="AB48">IF(Table2511[[#This Row],[6]]="","",Table2511[[#This Row],[Weight]:[Weight]]-(Table2511[[#This Row],[Weight]:[Weight]]*((_xlfn.XMATCH(Table2511[[#This Row],[6]],Table2511[[#This Row],[1]:[11]],0))-1)/(COUNTA(Table2511[[#This Row],[1]:[11]])-COUNTBLANK(Table2511[[#This Row],[1]:[11]])-1)))</f>
        <v/>
      </c>
      <c r="AC48" s="30" t="str" cm="1">
        <f t="array" ref="AC48">IF(Table2511[[#This Row],[7]]="","",Table2511[[#This Row],[Weight]:[Weight]]-(Table2511[[#This Row],[Weight]:[Weight]]*((_xlfn.XMATCH(Table2511[[#This Row],[7]],Table2511[[#This Row],[1]:[11]],0))-1)/(COUNTA(Table2511[[#This Row],[1]:[11]])-COUNTBLANK(Table2511[[#This Row],[1]:[11]])-1)))</f>
        <v/>
      </c>
      <c r="AD48" s="30" t="str" cm="1">
        <f t="array" ref="AD48">IF(Table2511[[#This Row],[8]]="","",Table2511[[#This Row],[Weight]:[Weight]]-(Table2511[[#This Row],[Weight]:[Weight]]*((_xlfn.XMATCH(Table2511[[#This Row],[8]],Table2511[[#This Row],[1]:[11]],0))-1)/(COUNTA(Table2511[[#This Row],[1]:[11]])-COUNTBLANK(Table2511[[#This Row],[1]:[11]])-1)))</f>
        <v/>
      </c>
      <c r="AE48" s="41" t="str" cm="1">
        <f t="array" ref="AE48">IF(Table2511[[#This Row],[9]]="","",Table2511[[#This Row],[Weight]:[Weight]]-(Table2511[[#This Row],[Weight]:[Weight]]*((_xlfn.XMATCH(Table2511[[#This Row],[9]],Table2511[[#This Row],[1]:[11]],0))-1)/(COUNTA(Table2511[[#This Row],[1]:[11]])-COUNTBLANK(Table2511[[#This Row],[1]:[11]])-1)))</f>
        <v/>
      </c>
      <c r="AF48" s="41" t="str" cm="1">
        <f t="array" ref="AF48">IF(Table2511[[#This Row],[10]]="","",Table2511[[#This Row],[Weight]:[Weight]]-(Table2511[[#This Row],[Weight]:[Weight]]*((_xlfn.XMATCH(Table2511[[#This Row],[10]],Table2511[[#This Row],[1]:[11]],0))-1)/(COUNTA(Table2511[[#This Row],[1]:[11]])-COUNTBLANK(Table2511[[#This Row],[1]:[11]])-1)))</f>
        <v/>
      </c>
      <c r="AG48" s="41" t="str" cm="1">
        <f t="array" ref="AG48">IF(Table2511[[#This Row],[11]]="","",Table2511[[#This Row],[Weight]:[Weight]]-(Table2511[[#This Row],[Weight]:[Weight]]*((_xlfn.XMATCH(Table2511[[#This Row],[11]],Table2511[[#This Row],[1]:[11]],0))-1)/(COUNTA(Table2511[[#This Row],[1]:[11]])-COUNTBLANK(Table2511[[#This Row],[1]:[11]])-1)))</f>
        <v/>
      </c>
    </row>
    <row r="49" spans="1:33" ht="72" x14ac:dyDescent="0.2">
      <c r="A49" s="117" t="s">
        <v>222</v>
      </c>
      <c r="B49" s="21" t="s">
        <v>223</v>
      </c>
      <c r="C49" s="204" t="s">
        <v>224</v>
      </c>
      <c r="D49" s="22" t="s">
        <v>60</v>
      </c>
      <c r="E49" s="23" cm="1">
        <f t="array" ref="E49">_xlfn.IFS(D49="","",D49="No interest",0,D49="Nice to have",1,D49="Useful",2,D49="Important",3,D49="Very important",4,D49="Critical",5,D49="Show stopper",6)</f>
        <v>6</v>
      </c>
      <c r="F49" s="24">
        <f t="shared" si="0"/>
        <v>2.097902097902098E-2</v>
      </c>
      <c r="G49" s="25" t="s">
        <v>403</v>
      </c>
      <c r="H49" s="25" t="str" cm="1">
        <f t="array" ref="H49">_xlfn.TEXTJOIN(" "&amp;CHAR(10),,TEXT(SUBSTITUTE(Table2511[[#This Row],[12]:[22]],".",","),"0,00%"))</f>
        <v>0,020979020979021 
0,0104895104895105 
0,00%</v>
      </c>
      <c r="I49" s="26" t="s">
        <v>404</v>
      </c>
      <c r="J49" s="27">
        <f>F49-(F49*((MATCH(Table2511[[#This Row],[Evaluators Response (SELECT)]],Table2511[[#This Row],[1]:[11]],0)-1)/(COUNTA(Table2511[[#This Row],[1]:[11]])-COUNTBLANK(Table2511[[#This Row],[1]:[11]])-1)))</f>
        <v>0</v>
      </c>
      <c r="K49" s="28"/>
      <c r="L49" s="41" t="str" cm="1">
        <f t="array" ref="L49">IFERROR(INDEX(_xlfn.UNIQUE(TRIM(_xlfn.TEXTSPLIT(Table2511[[#This Row],[Selection Option]:[Selection Option]],";"))),,L$12),"")</f>
        <v>1. Extensive functionality available</v>
      </c>
      <c r="M49" s="41" t="str" cm="1">
        <f t="array" ref="M49">IFERROR(INDEX(_xlfn.UNIQUE(TRIM(_xlfn.TEXTSPLIT(Table2511[[#This Row],[Selection Option]:[Selection Option]],";"))),,M$12),"")</f>
        <v xml:space="preserve">
2. Limited functionality available</v>
      </c>
      <c r="N49" s="41" t="str" cm="1">
        <f t="array" ref="N49">IFERROR(INDEX(_xlfn.UNIQUE(TRIM(_xlfn.TEXTSPLIT(Table2511[[#This Row],[Selection Option]:[Selection Option]],";"))),,N$12),"")</f>
        <v xml:space="preserve">
3. Functionality not available</v>
      </c>
      <c r="O49" s="41" t="str" cm="1">
        <f t="array" ref="O49">IFERROR(INDEX(_xlfn.UNIQUE(TRIM(_xlfn.TEXTSPLIT(Table2511[[#This Row],[Selection Option]:[Selection Option]],";"))),,O$12),"")</f>
        <v/>
      </c>
      <c r="P49" s="41" t="str" cm="1">
        <f t="array" ref="P49">IFERROR(INDEX(_xlfn.UNIQUE(TRIM(_xlfn.TEXTSPLIT(Table2511[[#This Row],[Selection Option]:[Selection Option]],";"))),,P$12),"")</f>
        <v/>
      </c>
      <c r="Q49" s="41" t="str" cm="1">
        <f t="array" ref="Q49">IFERROR(INDEX(_xlfn.UNIQUE(TRIM(_xlfn.TEXTSPLIT(Table2511[[#This Row],[Selection Option]:[Selection Option]],";"))),,Q$12),"")</f>
        <v/>
      </c>
      <c r="R49" s="41" t="str" cm="1">
        <f t="array" ref="R49">IFERROR(INDEX(_xlfn.UNIQUE(TRIM(_xlfn.TEXTSPLIT(Table2511[[#This Row],[Selection Option]:[Selection Option]],";"))),,R$12),"")</f>
        <v/>
      </c>
      <c r="S49" s="41" t="str" cm="1">
        <f t="array" ref="S49">IFERROR(INDEX(_xlfn.UNIQUE(TRIM(_xlfn.TEXTSPLIT(Table2511[[#This Row],[Selection Option]:[Selection Option]],";"))),,S$12),"")</f>
        <v/>
      </c>
      <c r="T49" s="41" t="str" cm="1">
        <f t="array" ref="T49">IFERROR(INDEX(_xlfn.UNIQUE(TRIM(_xlfn.TEXTSPLIT(Table2511[[#This Row],[Selection Option]:[Selection Option]],";"))),,T$12),"")</f>
        <v/>
      </c>
      <c r="U49" s="41" t="str" cm="1">
        <f t="array" ref="U49">IFERROR(INDEX(_xlfn.UNIQUE(TRIM(_xlfn.TEXTSPLIT(Table2511[[#This Row],[Selection Option]:[Selection Option]],";"))),,U$12),"")</f>
        <v/>
      </c>
      <c r="V49" s="41" t="str" cm="1">
        <f t="array" ref="V49">IFERROR(INDEX(_xlfn.UNIQUE(TRIM(_xlfn.TEXTSPLIT(Table2511[[#This Row],[Selection Option]:[Selection Option]],";"))),,V$12),"")</f>
        <v/>
      </c>
      <c r="W49" s="30" cm="1">
        <f t="array" ref="W49">IF(Table2511[[#This Row],[1]]="","",Table2511[[#This Row],[Weight]:[Weight]]-(Table2511[[#This Row],[Weight]:[Weight]]*((_xlfn.XMATCH(Table2511[[#This Row],[1]],Table2511[[#This Row],[1]:[11]],0))-1)/(COUNTA(Table2511[[#This Row],[1]:[11]])-COUNTBLANK(Table2511[[#This Row],[1]:[11]])-1)))</f>
        <v>2.097902097902098E-2</v>
      </c>
      <c r="X49" s="30" cm="1">
        <f t="array" ref="X49">IF(Table2511[[#This Row],[2]]="","",Table2511[[#This Row],[Weight]:[Weight]]-(Table2511[[#This Row],[Weight]:[Weight]]*((_xlfn.XMATCH(Table2511[[#This Row],[2]],Table2511[[#This Row],[1]:[11]],0))-1)/(COUNTA(Table2511[[#This Row],[1]:[11]])-COUNTBLANK(Table2511[[#This Row],[1]:[11]])-1)))</f>
        <v>1.048951048951049E-2</v>
      </c>
      <c r="Y49" s="30" cm="1">
        <f t="array" ref="Y49">IF(Table2511[[#This Row],[3]]="","",Table2511[[#This Row],[Weight]:[Weight]]-(Table2511[[#This Row],[Weight]:[Weight]]*((_xlfn.XMATCH(Table2511[[#This Row],[3]],Table2511[[#This Row],[1]:[11]],0))-1)/(COUNTA(Table2511[[#This Row],[1]:[11]])-COUNTBLANK(Table2511[[#This Row],[1]:[11]])-1)))</f>
        <v>0</v>
      </c>
      <c r="Z49" s="30" t="str" cm="1">
        <f t="array" ref="Z49">IF(Table2511[[#This Row],[4]]="","",Table2511[[#This Row],[Weight]:[Weight]]-(Table2511[[#This Row],[Weight]:[Weight]]*((_xlfn.XMATCH(Table2511[[#This Row],[4]],Table2511[[#This Row],[1]:[11]],0))-1)/(COUNTA(Table2511[[#This Row],[1]:[11]])-COUNTBLANK(Table2511[[#This Row],[1]:[11]])-1)))</f>
        <v/>
      </c>
      <c r="AA49" s="30" t="str" cm="1">
        <f t="array" ref="AA49">IF(Table2511[[#This Row],[5]]="","",Table2511[[#This Row],[Weight]:[Weight]]-(Table2511[[#This Row],[Weight]:[Weight]]*((_xlfn.XMATCH(Table2511[[#This Row],[5]],Table2511[[#This Row],[1]:[11]],0))-1)/(COUNTA(Table2511[[#This Row],[1]:[11]])-COUNTBLANK(Table2511[[#This Row],[1]:[11]])-1)))</f>
        <v/>
      </c>
      <c r="AB49" s="30" t="str" cm="1">
        <f t="array" ref="AB49">IF(Table2511[[#This Row],[6]]="","",Table2511[[#This Row],[Weight]:[Weight]]-(Table2511[[#This Row],[Weight]:[Weight]]*((_xlfn.XMATCH(Table2511[[#This Row],[6]],Table2511[[#This Row],[1]:[11]],0))-1)/(COUNTA(Table2511[[#This Row],[1]:[11]])-COUNTBLANK(Table2511[[#This Row],[1]:[11]])-1)))</f>
        <v/>
      </c>
      <c r="AC49" s="30" t="str" cm="1">
        <f t="array" ref="AC49">IF(Table2511[[#This Row],[7]]="","",Table2511[[#This Row],[Weight]:[Weight]]-(Table2511[[#This Row],[Weight]:[Weight]]*((_xlfn.XMATCH(Table2511[[#This Row],[7]],Table2511[[#This Row],[1]:[11]],0))-1)/(COUNTA(Table2511[[#This Row],[1]:[11]])-COUNTBLANK(Table2511[[#This Row],[1]:[11]])-1)))</f>
        <v/>
      </c>
      <c r="AD49" s="30" t="str" cm="1">
        <f t="array" ref="AD49">IF(Table2511[[#This Row],[8]]="","",Table2511[[#This Row],[Weight]:[Weight]]-(Table2511[[#This Row],[Weight]:[Weight]]*((_xlfn.XMATCH(Table2511[[#This Row],[8]],Table2511[[#This Row],[1]:[11]],0))-1)/(COUNTA(Table2511[[#This Row],[1]:[11]])-COUNTBLANK(Table2511[[#This Row],[1]:[11]])-1)))</f>
        <v/>
      </c>
      <c r="AE49" s="41" t="str" cm="1">
        <f t="array" ref="AE49">IF(Table2511[[#This Row],[9]]="","",Table2511[[#This Row],[Weight]:[Weight]]-(Table2511[[#This Row],[Weight]:[Weight]]*((_xlfn.XMATCH(Table2511[[#This Row],[9]],Table2511[[#This Row],[1]:[11]],0))-1)/(COUNTA(Table2511[[#This Row],[1]:[11]])-COUNTBLANK(Table2511[[#This Row],[1]:[11]])-1)))</f>
        <v/>
      </c>
      <c r="AF49" s="41" t="str" cm="1">
        <f t="array" ref="AF49">IF(Table2511[[#This Row],[10]]="","",Table2511[[#This Row],[Weight]:[Weight]]-(Table2511[[#This Row],[Weight]:[Weight]]*((_xlfn.XMATCH(Table2511[[#This Row],[10]],Table2511[[#This Row],[1]:[11]],0))-1)/(COUNTA(Table2511[[#This Row],[1]:[11]])-COUNTBLANK(Table2511[[#This Row],[1]:[11]])-1)))</f>
        <v/>
      </c>
      <c r="AG49" s="41" t="str" cm="1">
        <f t="array" ref="AG49">IF(Table2511[[#This Row],[11]]="","",Table2511[[#This Row],[Weight]:[Weight]]-(Table2511[[#This Row],[Weight]:[Weight]]*((_xlfn.XMATCH(Table2511[[#This Row],[11]],Table2511[[#This Row],[1]:[11]],0))-1)/(COUNTA(Table2511[[#This Row],[1]:[11]])-COUNTBLANK(Table2511[[#This Row],[1]:[11]])-1)))</f>
        <v/>
      </c>
    </row>
    <row r="50" spans="1:33" ht="72" x14ac:dyDescent="0.2">
      <c r="A50" s="117" t="s">
        <v>225</v>
      </c>
      <c r="B50" s="21" t="s">
        <v>226</v>
      </c>
      <c r="C50" s="204" t="s">
        <v>227</v>
      </c>
      <c r="D50" s="22" t="s">
        <v>60</v>
      </c>
      <c r="E50" s="23" cm="1">
        <f t="array" ref="E50">_xlfn.IFS(D50="","",D50="No interest",0,D50="Nice to have",1,D50="Useful",2,D50="Important",3,D50="Very important",4,D50="Critical",5,D50="Show stopper",6)</f>
        <v>6</v>
      </c>
      <c r="F50" s="24">
        <f t="shared" si="0"/>
        <v>2.097902097902098E-2</v>
      </c>
      <c r="G50" s="25" t="s">
        <v>403</v>
      </c>
      <c r="H50" s="25" t="str" cm="1">
        <f t="array" ref="H50">_xlfn.TEXTJOIN(" "&amp;CHAR(10),,TEXT(SUBSTITUTE(Table2511[[#This Row],[12]:[22]],".",","),"0,00%"))</f>
        <v>0,020979020979021 
0,0104895104895105 
0,00%</v>
      </c>
      <c r="I50" s="26" t="s">
        <v>404</v>
      </c>
      <c r="J50" s="27">
        <f>F50-(F50*((MATCH(Table2511[[#This Row],[Evaluators Response (SELECT)]],Table2511[[#This Row],[1]:[11]],0)-1)/(COUNTA(Table2511[[#This Row],[1]:[11]])-COUNTBLANK(Table2511[[#This Row],[1]:[11]])-1)))</f>
        <v>0</v>
      </c>
      <c r="K50" s="28"/>
      <c r="L50" s="41" t="str" cm="1">
        <f t="array" ref="L50">IFERROR(INDEX(_xlfn.UNIQUE(TRIM(_xlfn.TEXTSPLIT(Table2511[[#This Row],[Selection Option]:[Selection Option]],";"))),,L$12),"")</f>
        <v>1. Extensive functionality available</v>
      </c>
      <c r="M50" s="41" t="str" cm="1">
        <f t="array" ref="M50">IFERROR(INDEX(_xlfn.UNIQUE(TRIM(_xlfn.TEXTSPLIT(Table2511[[#This Row],[Selection Option]:[Selection Option]],";"))),,M$12),"")</f>
        <v xml:space="preserve">
2. Limited functionality available</v>
      </c>
      <c r="N50" s="41" t="str" cm="1">
        <f t="array" ref="N50">IFERROR(INDEX(_xlfn.UNIQUE(TRIM(_xlfn.TEXTSPLIT(Table2511[[#This Row],[Selection Option]:[Selection Option]],";"))),,N$12),"")</f>
        <v xml:space="preserve">
3. Functionality not available</v>
      </c>
      <c r="O50" s="41" t="str" cm="1">
        <f t="array" ref="O50">IFERROR(INDEX(_xlfn.UNIQUE(TRIM(_xlfn.TEXTSPLIT(Table2511[[#This Row],[Selection Option]:[Selection Option]],";"))),,O$12),"")</f>
        <v/>
      </c>
      <c r="P50" s="41" t="str" cm="1">
        <f t="array" ref="P50">IFERROR(INDEX(_xlfn.UNIQUE(TRIM(_xlfn.TEXTSPLIT(Table2511[[#This Row],[Selection Option]:[Selection Option]],";"))),,P$12),"")</f>
        <v/>
      </c>
      <c r="Q50" s="41" t="str" cm="1">
        <f t="array" ref="Q50">IFERROR(INDEX(_xlfn.UNIQUE(TRIM(_xlfn.TEXTSPLIT(Table2511[[#This Row],[Selection Option]:[Selection Option]],";"))),,Q$12),"")</f>
        <v/>
      </c>
      <c r="R50" s="41" t="str" cm="1">
        <f t="array" ref="R50">IFERROR(INDEX(_xlfn.UNIQUE(TRIM(_xlfn.TEXTSPLIT(Table2511[[#This Row],[Selection Option]:[Selection Option]],";"))),,R$12),"")</f>
        <v/>
      </c>
      <c r="S50" s="41" t="str" cm="1">
        <f t="array" ref="S50">IFERROR(INDEX(_xlfn.UNIQUE(TRIM(_xlfn.TEXTSPLIT(Table2511[[#This Row],[Selection Option]:[Selection Option]],";"))),,S$12),"")</f>
        <v/>
      </c>
      <c r="T50" s="41" t="str" cm="1">
        <f t="array" ref="T50">IFERROR(INDEX(_xlfn.UNIQUE(TRIM(_xlfn.TEXTSPLIT(Table2511[[#This Row],[Selection Option]:[Selection Option]],";"))),,T$12),"")</f>
        <v/>
      </c>
      <c r="U50" s="41" t="str" cm="1">
        <f t="array" ref="U50">IFERROR(INDEX(_xlfn.UNIQUE(TRIM(_xlfn.TEXTSPLIT(Table2511[[#This Row],[Selection Option]:[Selection Option]],";"))),,U$12),"")</f>
        <v/>
      </c>
      <c r="V50" s="41" t="str" cm="1">
        <f t="array" ref="V50">IFERROR(INDEX(_xlfn.UNIQUE(TRIM(_xlfn.TEXTSPLIT(Table2511[[#This Row],[Selection Option]:[Selection Option]],";"))),,V$12),"")</f>
        <v/>
      </c>
      <c r="W50" s="30" cm="1">
        <f t="array" ref="W50">IF(Table2511[[#This Row],[1]]="","",Table2511[[#This Row],[Weight]:[Weight]]-(Table2511[[#This Row],[Weight]:[Weight]]*((_xlfn.XMATCH(Table2511[[#This Row],[1]],Table2511[[#This Row],[1]:[11]],0))-1)/(COUNTA(Table2511[[#This Row],[1]:[11]])-COUNTBLANK(Table2511[[#This Row],[1]:[11]])-1)))</f>
        <v>2.097902097902098E-2</v>
      </c>
      <c r="X50" s="30" cm="1">
        <f t="array" ref="X50">IF(Table2511[[#This Row],[2]]="","",Table2511[[#This Row],[Weight]:[Weight]]-(Table2511[[#This Row],[Weight]:[Weight]]*((_xlfn.XMATCH(Table2511[[#This Row],[2]],Table2511[[#This Row],[1]:[11]],0))-1)/(COUNTA(Table2511[[#This Row],[1]:[11]])-COUNTBLANK(Table2511[[#This Row],[1]:[11]])-1)))</f>
        <v>1.048951048951049E-2</v>
      </c>
      <c r="Y50" s="30" cm="1">
        <f t="array" ref="Y50">IF(Table2511[[#This Row],[3]]="","",Table2511[[#This Row],[Weight]:[Weight]]-(Table2511[[#This Row],[Weight]:[Weight]]*((_xlfn.XMATCH(Table2511[[#This Row],[3]],Table2511[[#This Row],[1]:[11]],0))-1)/(COUNTA(Table2511[[#This Row],[1]:[11]])-COUNTBLANK(Table2511[[#This Row],[1]:[11]])-1)))</f>
        <v>0</v>
      </c>
      <c r="Z50" s="30" t="str" cm="1">
        <f t="array" ref="Z50">IF(Table2511[[#This Row],[4]]="","",Table2511[[#This Row],[Weight]:[Weight]]-(Table2511[[#This Row],[Weight]:[Weight]]*((_xlfn.XMATCH(Table2511[[#This Row],[4]],Table2511[[#This Row],[1]:[11]],0))-1)/(COUNTA(Table2511[[#This Row],[1]:[11]])-COUNTBLANK(Table2511[[#This Row],[1]:[11]])-1)))</f>
        <v/>
      </c>
      <c r="AA50" s="30" t="str" cm="1">
        <f t="array" ref="AA50">IF(Table2511[[#This Row],[5]]="","",Table2511[[#This Row],[Weight]:[Weight]]-(Table2511[[#This Row],[Weight]:[Weight]]*((_xlfn.XMATCH(Table2511[[#This Row],[5]],Table2511[[#This Row],[1]:[11]],0))-1)/(COUNTA(Table2511[[#This Row],[1]:[11]])-COUNTBLANK(Table2511[[#This Row],[1]:[11]])-1)))</f>
        <v/>
      </c>
      <c r="AB50" s="30" t="str" cm="1">
        <f t="array" ref="AB50">IF(Table2511[[#This Row],[6]]="","",Table2511[[#This Row],[Weight]:[Weight]]-(Table2511[[#This Row],[Weight]:[Weight]]*((_xlfn.XMATCH(Table2511[[#This Row],[6]],Table2511[[#This Row],[1]:[11]],0))-1)/(COUNTA(Table2511[[#This Row],[1]:[11]])-COUNTBLANK(Table2511[[#This Row],[1]:[11]])-1)))</f>
        <v/>
      </c>
      <c r="AC50" s="30" t="str" cm="1">
        <f t="array" ref="AC50">IF(Table2511[[#This Row],[7]]="","",Table2511[[#This Row],[Weight]:[Weight]]-(Table2511[[#This Row],[Weight]:[Weight]]*((_xlfn.XMATCH(Table2511[[#This Row],[7]],Table2511[[#This Row],[1]:[11]],0))-1)/(COUNTA(Table2511[[#This Row],[1]:[11]])-COUNTBLANK(Table2511[[#This Row],[1]:[11]])-1)))</f>
        <v/>
      </c>
      <c r="AD50" s="30" t="str" cm="1">
        <f t="array" ref="AD50">IF(Table2511[[#This Row],[8]]="","",Table2511[[#This Row],[Weight]:[Weight]]-(Table2511[[#This Row],[Weight]:[Weight]]*((_xlfn.XMATCH(Table2511[[#This Row],[8]],Table2511[[#This Row],[1]:[11]],0))-1)/(COUNTA(Table2511[[#This Row],[1]:[11]])-COUNTBLANK(Table2511[[#This Row],[1]:[11]])-1)))</f>
        <v/>
      </c>
      <c r="AE50" s="41" t="str" cm="1">
        <f t="array" ref="AE50">IF(Table2511[[#This Row],[9]]="","",Table2511[[#This Row],[Weight]:[Weight]]-(Table2511[[#This Row],[Weight]:[Weight]]*((_xlfn.XMATCH(Table2511[[#This Row],[9]],Table2511[[#This Row],[1]:[11]],0))-1)/(COUNTA(Table2511[[#This Row],[1]:[11]])-COUNTBLANK(Table2511[[#This Row],[1]:[11]])-1)))</f>
        <v/>
      </c>
      <c r="AF50" s="41" t="str" cm="1">
        <f t="array" ref="AF50">IF(Table2511[[#This Row],[10]]="","",Table2511[[#This Row],[Weight]:[Weight]]-(Table2511[[#This Row],[Weight]:[Weight]]*((_xlfn.XMATCH(Table2511[[#This Row],[10]],Table2511[[#This Row],[1]:[11]],0))-1)/(COUNTA(Table2511[[#This Row],[1]:[11]])-COUNTBLANK(Table2511[[#This Row],[1]:[11]])-1)))</f>
        <v/>
      </c>
      <c r="AG50" s="41" t="str" cm="1">
        <f t="array" ref="AG50">IF(Table2511[[#This Row],[11]]="","",Table2511[[#This Row],[Weight]:[Weight]]-(Table2511[[#This Row],[Weight]:[Weight]]*((_xlfn.XMATCH(Table2511[[#This Row],[11]],Table2511[[#This Row],[1]:[11]],0))-1)/(COUNTA(Table2511[[#This Row],[1]:[11]])-COUNTBLANK(Table2511[[#This Row],[1]:[11]])-1)))</f>
        <v/>
      </c>
    </row>
    <row r="51" spans="1:33" ht="84" x14ac:dyDescent="0.2">
      <c r="A51" s="117" t="s">
        <v>228</v>
      </c>
      <c r="B51" s="21" t="s">
        <v>229</v>
      </c>
      <c r="C51" s="204" t="s">
        <v>230</v>
      </c>
      <c r="D51" s="22" t="s">
        <v>60</v>
      </c>
      <c r="E51" s="23" cm="1">
        <f t="array" ref="E51">_xlfn.IFS(D51="","",D51="No interest",0,D51="Nice to have",1,D51="Useful",2,D51="Important",3,D51="Very important",4,D51="Critical",5,D51="Show stopper",6)</f>
        <v>6</v>
      </c>
      <c r="F51" s="24">
        <f t="shared" si="0"/>
        <v>2.097902097902098E-2</v>
      </c>
      <c r="G51" s="25" t="s">
        <v>403</v>
      </c>
      <c r="H51" s="25" t="str" cm="1">
        <f t="array" ref="H51">_xlfn.TEXTJOIN(" "&amp;CHAR(10),,TEXT(SUBSTITUTE(Table2511[[#This Row],[12]:[22]],".",","),"0,00%"))</f>
        <v>0,020979020979021 
0,0104895104895105 
0,00%</v>
      </c>
      <c r="I51" s="26" t="s">
        <v>404</v>
      </c>
      <c r="J51" s="27">
        <f>F51-(F51*((MATCH(Table2511[[#This Row],[Evaluators Response (SELECT)]],Table2511[[#This Row],[1]:[11]],0)-1)/(COUNTA(Table2511[[#This Row],[1]:[11]])-COUNTBLANK(Table2511[[#This Row],[1]:[11]])-1)))</f>
        <v>0</v>
      </c>
      <c r="K51" s="28"/>
      <c r="L51" s="41" t="str" cm="1">
        <f t="array" ref="L51">IFERROR(INDEX(_xlfn.UNIQUE(TRIM(_xlfn.TEXTSPLIT(Table2511[[#This Row],[Selection Option]:[Selection Option]],";"))),,L$12),"")</f>
        <v>1. Extensive functionality available</v>
      </c>
      <c r="M51" s="41" t="str" cm="1">
        <f t="array" ref="M51">IFERROR(INDEX(_xlfn.UNIQUE(TRIM(_xlfn.TEXTSPLIT(Table2511[[#This Row],[Selection Option]:[Selection Option]],";"))),,M$12),"")</f>
        <v xml:space="preserve">
2. Limited functionality available</v>
      </c>
      <c r="N51" s="41" t="str" cm="1">
        <f t="array" ref="N51">IFERROR(INDEX(_xlfn.UNIQUE(TRIM(_xlfn.TEXTSPLIT(Table2511[[#This Row],[Selection Option]:[Selection Option]],";"))),,N$12),"")</f>
        <v xml:space="preserve">
3. Functionality not available</v>
      </c>
      <c r="O51" s="41" t="str" cm="1">
        <f t="array" ref="O51">IFERROR(INDEX(_xlfn.UNIQUE(TRIM(_xlfn.TEXTSPLIT(Table2511[[#This Row],[Selection Option]:[Selection Option]],";"))),,O$12),"")</f>
        <v/>
      </c>
      <c r="P51" s="41" t="str" cm="1">
        <f t="array" ref="P51">IFERROR(INDEX(_xlfn.UNIQUE(TRIM(_xlfn.TEXTSPLIT(Table2511[[#This Row],[Selection Option]:[Selection Option]],";"))),,P$12),"")</f>
        <v/>
      </c>
      <c r="Q51" s="41" t="str" cm="1">
        <f t="array" ref="Q51">IFERROR(INDEX(_xlfn.UNIQUE(TRIM(_xlfn.TEXTSPLIT(Table2511[[#This Row],[Selection Option]:[Selection Option]],";"))),,Q$12),"")</f>
        <v/>
      </c>
      <c r="R51" s="41" t="str" cm="1">
        <f t="array" ref="R51">IFERROR(INDEX(_xlfn.UNIQUE(TRIM(_xlfn.TEXTSPLIT(Table2511[[#This Row],[Selection Option]:[Selection Option]],";"))),,R$12),"")</f>
        <v/>
      </c>
      <c r="S51" s="41" t="str" cm="1">
        <f t="array" ref="S51">IFERROR(INDEX(_xlfn.UNIQUE(TRIM(_xlfn.TEXTSPLIT(Table2511[[#This Row],[Selection Option]:[Selection Option]],";"))),,S$12),"")</f>
        <v/>
      </c>
      <c r="T51" s="41" t="str" cm="1">
        <f t="array" ref="T51">IFERROR(INDEX(_xlfn.UNIQUE(TRIM(_xlfn.TEXTSPLIT(Table2511[[#This Row],[Selection Option]:[Selection Option]],";"))),,T$12),"")</f>
        <v/>
      </c>
      <c r="U51" s="41" t="str" cm="1">
        <f t="array" ref="U51">IFERROR(INDEX(_xlfn.UNIQUE(TRIM(_xlfn.TEXTSPLIT(Table2511[[#This Row],[Selection Option]:[Selection Option]],";"))),,U$12),"")</f>
        <v/>
      </c>
      <c r="V51" s="41" t="str" cm="1">
        <f t="array" ref="V51">IFERROR(INDEX(_xlfn.UNIQUE(TRIM(_xlfn.TEXTSPLIT(Table2511[[#This Row],[Selection Option]:[Selection Option]],";"))),,V$12),"")</f>
        <v/>
      </c>
      <c r="W51" s="30" cm="1">
        <f t="array" ref="W51">IF(Table2511[[#This Row],[1]]="","",Table2511[[#This Row],[Weight]:[Weight]]-(Table2511[[#This Row],[Weight]:[Weight]]*((_xlfn.XMATCH(Table2511[[#This Row],[1]],Table2511[[#This Row],[1]:[11]],0))-1)/(COUNTA(Table2511[[#This Row],[1]:[11]])-COUNTBLANK(Table2511[[#This Row],[1]:[11]])-1)))</f>
        <v>2.097902097902098E-2</v>
      </c>
      <c r="X51" s="30" cm="1">
        <f t="array" ref="X51">IF(Table2511[[#This Row],[2]]="","",Table2511[[#This Row],[Weight]:[Weight]]-(Table2511[[#This Row],[Weight]:[Weight]]*((_xlfn.XMATCH(Table2511[[#This Row],[2]],Table2511[[#This Row],[1]:[11]],0))-1)/(COUNTA(Table2511[[#This Row],[1]:[11]])-COUNTBLANK(Table2511[[#This Row],[1]:[11]])-1)))</f>
        <v>1.048951048951049E-2</v>
      </c>
      <c r="Y51" s="30" cm="1">
        <f t="array" ref="Y51">IF(Table2511[[#This Row],[3]]="","",Table2511[[#This Row],[Weight]:[Weight]]-(Table2511[[#This Row],[Weight]:[Weight]]*((_xlfn.XMATCH(Table2511[[#This Row],[3]],Table2511[[#This Row],[1]:[11]],0))-1)/(COUNTA(Table2511[[#This Row],[1]:[11]])-COUNTBLANK(Table2511[[#This Row],[1]:[11]])-1)))</f>
        <v>0</v>
      </c>
      <c r="Z51" s="30" t="str" cm="1">
        <f t="array" ref="Z51">IF(Table2511[[#This Row],[4]]="","",Table2511[[#This Row],[Weight]:[Weight]]-(Table2511[[#This Row],[Weight]:[Weight]]*((_xlfn.XMATCH(Table2511[[#This Row],[4]],Table2511[[#This Row],[1]:[11]],0))-1)/(COUNTA(Table2511[[#This Row],[1]:[11]])-COUNTBLANK(Table2511[[#This Row],[1]:[11]])-1)))</f>
        <v/>
      </c>
      <c r="AA51" s="30" t="str" cm="1">
        <f t="array" ref="AA51">IF(Table2511[[#This Row],[5]]="","",Table2511[[#This Row],[Weight]:[Weight]]-(Table2511[[#This Row],[Weight]:[Weight]]*((_xlfn.XMATCH(Table2511[[#This Row],[5]],Table2511[[#This Row],[1]:[11]],0))-1)/(COUNTA(Table2511[[#This Row],[1]:[11]])-COUNTBLANK(Table2511[[#This Row],[1]:[11]])-1)))</f>
        <v/>
      </c>
      <c r="AB51" s="30" t="str" cm="1">
        <f t="array" ref="AB51">IF(Table2511[[#This Row],[6]]="","",Table2511[[#This Row],[Weight]:[Weight]]-(Table2511[[#This Row],[Weight]:[Weight]]*((_xlfn.XMATCH(Table2511[[#This Row],[6]],Table2511[[#This Row],[1]:[11]],0))-1)/(COUNTA(Table2511[[#This Row],[1]:[11]])-COUNTBLANK(Table2511[[#This Row],[1]:[11]])-1)))</f>
        <v/>
      </c>
      <c r="AC51" s="30" t="str" cm="1">
        <f t="array" ref="AC51">IF(Table2511[[#This Row],[7]]="","",Table2511[[#This Row],[Weight]:[Weight]]-(Table2511[[#This Row],[Weight]:[Weight]]*((_xlfn.XMATCH(Table2511[[#This Row],[7]],Table2511[[#This Row],[1]:[11]],0))-1)/(COUNTA(Table2511[[#This Row],[1]:[11]])-COUNTBLANK(Table2511[[#This Row],[1]:[11]])-1)))</f>
        <v/>
      </c>
      <c r="AD51" s="30" t="str" cm="1">
        <f t="array" ref="AD51">IF(Table2511[[#This Row],[8]]="","",Table2511[[#This Row],[Weight]:[Weight]]-(Table2511[[#This Row],[Weight]:[Weight]]*((_xlfn.XMATCH(Table2511[[#This Row],[8]],Table2511[[#This Row],[1]:[11]],0))-1)/(COUNTA(Table2511[[#This Row],[1]:[11]])-COUNTBLANK(Table2511[[#This Row],[1]:[11]])-1)))</f>
        <v/>
      </c>
      <c r="AE51" s="41" t="str" cm="1">
        <f t="array" ref="AE51">IF(Table2511[[#This Row],[9]]="","",Table2511[[#This Row],[Weight]:[Weight]]-(Table2511[[#This Row],[Weight]:[Weight]]*((_xlfn.XMATCH(Table2511[[#This Row],[9]],Table2511[[#This Row],[1]:[11]],0))-1)/(COUNTA(Table2511[[#This Row],[1]:[11]])-COUNTBLANK(Table2511[[#This Row],[1]:[11]])-1)))</f>
        <v/>
      </c>
      <c r="AF51" s="41" t="str" cm="1">
        <f t="array" ref="AF51">IF(Table2511[[#This Row],[10]]="","",Table2511[[#This Row],[Weight]:[Weight]]-(Table2511[[#This Row],[Weight]:[Weight]]*((_xlfn.XMATCH(Table2511[[#This Row],[10]],Table2511[[#This Row],[1]:[11]],0))-1)/(COUNTA(Table2511[[#This Row],[1]:[11]])-COUNTBLANK(Table2511[[#This Row],[1]:[11]])-1)))</f>
        <v/>
      </c>
      <c r="AG51" s="41" t="str" cm="1">
        <f t="array" ref="AG51">IF(Table2511[[#This Row],[11]]="","",Table2511[[#This Row],[Weight]:[Weight]]-(Table2511[[#This Row],[Weight]:[Weight]]*((_xlfn.XMATCH(Table2511[[#This Row],[11]],Table2511[[#This Row],[1]:[11]],0))-1)/(COUNTA(Table2511[[#This Row],[1]:[11]])-COUNTBLANK(Table2511[[#This Row],[1]:[11]])-1)))</f>
        <v/>
      </c>
    </row>
    <row r="52" spans="1:33" ht="72" x14ac:dyDescent="0.2">
      <c r="A52" s="117" t="s">
        <v>231</v>
      </c>
      <c r="B52" s="21" t="s">
        <v>232</v>
      </c>
      <c r="C52" s="204" t="s">
        <v>233</v>
      </c>
      <c r="D52" s="22" t="s">
        <v>60</v>
      </c>
      <c r="E52" s="23" cm="1">
        <f t="array" ref="E52">_xlfn.IFS(D52="","",D52="No interest",0,D52="Nice to have",1,D52="Useful",2,D52="Important",3,D52="Very important",4,D52="Critical",5,D52="Show stopper",6)</f>
        <v>6</v>
      </c>
      <c r="F52" s="24">
        <f t="shared" si="0"/>
        <v>2.097902097902098E-2</v>
      </c>
      <c r="G52" s="25" t="s">
        <v>403</v>
      </c>
      <c r="H52" s="25" t="str" cm="1">
        <f t="array" ref="H52">_xlfn.TEXTJOIN(" "&amp;CHAR(10),,TEXT(SUBSTITUTE(Table2511[[#This Row],[12]:[22]],".",","),"0,00%"))</f>
        <v>0,020979020979021 
0,0104895104895105 
0,00%</v>
      </c>
      <c r="I52" s="26" t="s">
        <v>404</v>
      </c>
      <c r="J52" s="27">
        <f>F52-(F52*((MATCH(Table2511[[#This Row],[Evaluators Response (SELECT)]],Table2511[[#This Row],[1]:[11]],0)-1)/(COUNTA(Table2511[[#This Row],[1]:[11]])-COUNTBLANK(Table2511[[#This Row],[1]:[11]])-1)))</f>
        <v>0</v>
      </c>
      <c r="K52" s="28"/>
      <c r="L52" s="41" t="str" cm="1">
        <f t="array" ref="L52">IFERROR(INDEX(_xlfn.UNIQUE(TRIM(_xlfn.TEXTSPLIT(Table2511[[#This Row],[Selection Option]:[Selection Option]],";"))),,L$12),"")</f>
        <v>1. Extensive functionality available</v>
      </c>
      <c r="M52" s="41" t="str" cm="1">
        <f t="array" ref="M52">IFERROR(INDEX(_xlfn.UNIQUE(TRIM(_xlfn.TEXTSPLIT(Table2511[[#This Row],[Selection Option]:[Selection Option]],";"))),,M$12),"")</f>
        <v xml:space="preserve">
2. Limited functionality available</v>
      </c>
      <c r="N52" s="41" t="str" cm="1">
        <f t="array" ref="N52">IFERROR(INDEX(_xlfn.UNIQUE(TRIM(_xlfn.TEXTSPLIT(Table2511[[#This Row],[Selection Option]:[Selection Option]],";"))),,N$12),"")</f>
        <v xml:space="preserve">
3. Functionality not available</v>
      </c>
      <c r="O52" s="41" t="str" cm="1">
        <f t="array" ref="O52">IFERROR(INDEX(_xlfn.UNIQUE(TRIM(_xlfn.TEXTSPLIT(Table2511[[#This Row],[Selection Option]:[Selection Option]],";"))),,O$12),"")</f>
        <v/>
      </c>
      <c r="P52" s="41" t="str" cm="1">
        <f t="array" ref="P52">IFERROR(INDEX(_xlfn.UNIQUE(TRIM(_xlfn.TEXTSPLIT(Table2511[[#This Row],[Selection Option]:[Selection Option]],";"))),,P$12),"")</f>
        <v/>
      </c>
      <c r="Q52" s="41" t="str" cm="1">
        <f t="array" ref="Q52">IFERROR(INDEX(_xlfn.UNIQUE(TRIM(_xlfn.TEXTSPLIT(Table2511[[#This Row],[Selection Option]:[Selection Option]],";"))),,Q$12),"")</f>
        <v/>
      </c>
      <c r="R52" s="41" t="str" cm="1">
        <f t="array" ref="R52">IFERROR(INDEX(_xlfn.UNIQUE(TRIM(_xlfn.TEXTSPLIT(Table2511[[#This Row],[Selection Option]:[Selection Option]],";"))),,R$12),"")</f>
        <v/>
      </c>
      <c r="S52" s="41" t="str" cm="1">
        <f t="array" ref="S52">IFERROR(INDEX(_xlfn.UNIQUE(TRIM(_xlfn.TEXTSPLIT(Table2511[[#This Row],[Selection Option]:[Selection Option]],";"))),,S$12),"")</f>
        <v/>
      </c>
      <c r="T52" s="41" t="str" cm="1">
        <f t="array" ref="T52">IFERROR(INDEX(_xlfn.UNIQUE(TRIM(_xlfn.TEXTSPLIT(Table2511[[#This Row],[Selection Option]:[Selection Option]],";"))),,T$12),"")</f>
        <v/>
      </c>
      <c r="U52" s="41" t="str" cm="1">
        <f t="array" ref="U52">IFERROR(INDEX(_xlfn.UNIQUE(TRIM(_xlfn.TEXTSPLIT(Table2511[[#This Row],[Selection Option]:[Selection Option]],";"))),,U$12),"")</f>
        <v/>
      </c>
      <c r="V52" s="41" t="str" cm="1">
        <f t="array" ref="V52">IFERROR(INDEX(_xlfn.UNIQUE(TRIM(_xlfn.TEXTSPLIT(Table2511[[#This Row],[Selection Option]:[Selection Option]],";"))),,V$12),"")</f>
        <v/>
      </c>
      <c r="W52" s="30" cm="1">
        <f t="array" ref="W52">IF(Table2511[[#This Row],[1]]="","",Table2511[[#This Row],[Weight]:[Weight]]-(Table2511[[#This Row],[Weight]:[Weight]]*((_xlfn.XMATCH(Table2511[[#This Row],[1]],Table2511[[#This Row],[1]:[11]],0))-1)/(COUNTA(Table2511[[#This Row],[1]:[11]])-COUNTBLANK(Table2511[[#This Row],[1]:[11]])-1)))</f>
        <v>2.097902097902098E-2</v>
      </c>
      <c r="X52" s="30" cm="1">
        <f t="array" ref="X52">IF(Table2511[[#This Row],[2]]="","",Table2511[[#This Row],[Weight]:[Weight]]-(Table2511[[#This Row],[Weight]:[Weight]]*((_xlfn.XMATCH(Table2511[[#This Row],[2]],Table2511[[#This Row],[1]:[11]],0))-1)/(COUNTA(Table2511[[#This Row],[1]:[11]])-COUNTBLANK(Table2511[[#This Row],[1]:[11]])-1)))</f>
        <v>1.048951048951049E-2</v>
      </c>
      <c r="Y52" s="30" cm="1">
        <f t="array" ref="Y52">IF(Table2511[[#This Row],[3]]="","",Table2511[[#This Row],[Weight]:[Weight]]-(Table2511[[#This Row],[Weight]:[Weight]]*((_xlfn.XMATCH(Table2511[[#This Row],[3]],Table2511[[#This Row],[1]:[11]],0))-1)/(COUNTA(Table2511[[#This Row],[1]:[11]])-COUNTBLANK(Table2511[[#This Row],[1]:[11]])-1)))</f>
        <v>0</v>
      </c>
      <c r="Z52" s="30" t="str" cm="1">
        <f t="array" ref="Z52">IF(Table2511[[#This Row],[4]]="","",Table2511[[#This Row],[Weight]:[Weight]]-(Table2511[[#This Row],[Weight]:[Weight]]*((_xlfn.XMATCH(Table2511[[#This Row],[4]],Table2511[[#This Row],[1]:[11]],0))-1)/(COUNTA(Table2511[[#This Row],[1]:[11]])-COUNTBLANK(Table2511[[#This Row],[1]:[11]])-1)))</f>
        <v/>
      </c>
      <c r="AA52" s="30" t="str" cm="1">
        <f t="array" ref="AA52">IF(Table2511[[#This Row],[5]]="","",Table2511[[#This Row],[Weight]:[Weight]]-(Table2511[[#This Row],[Weight]:[Weight]]*((_xlfn.XMATCH(Table2511[[#This Row],[5]],Table2511[[#This Row],[1]:[11]],0))-1)/(COUNTA(Table2511[[#This Row],[1]:[11]])-COUNTBLANK(Table2511[[#This Row],[1]:[11]])-1)))</f>
        <v/>
      </c>
      <c r="AB52" s="30" t="str" cm="1">
        <f t="array" ref="AB52">IF(Table2511[[#This Row],[6]]="","",Table2511[[#This Row],[Weight]:[Weight]]-(Table2511[[#This Row],[Weight]:[Weight]]*((_xlfn.XMATCH(Table2511[[#This Row],[6]],Table2511[[#This Row],[1]:[11]],0))-1)/(COUNTA(Table2511[[#This Row],[1]:[11]])-COUNTBLANK(Table2511[[#This Row],[1]:[11]])-1)))</f>
        <v/>
      </c>
      <c r="AC52" s="30" t="str" cm="1">
        <f t="array" ref="AC52">IF(Table2511[[#This Row],[7]]="","",Table2511[[#This Row],[Weight]:[Weight]]-(Table2511[[#This Row],[Weight]:[Weight]]*((_xlfn.XMATCH(Table2511[[#This Row],[7]],Table2511[[#This Row],[1]:[11]],0))-1)/(COUNTA(Table2511[[#This Row],[1]:[11]])-COUNTBLANK(Table2511[[#This Row],[1]:[11]])-1)))</f>
        <v/>
      </c>
      <c r="AD52" s="30" t="str" cm="1">
        <f t="array" ref="AD52">IF(Table2511[[#This Row],[8]]="","",Table2511[[#This Row],[Weight]:[Weight]]-(Table2511[[#This Row],[Weight]:[Weight]]*((_xlfn.XMATCH(Table2511[[#This Row],[8]],Table2511[[#This Row],[1]:[11]],0))-1)/(COUNTA(Table2511[[#This Row],[1]:[11]])-COUNTBLANK(Table2511[[#This Row],[1]:[11]])-1)))</f>
        <v/>
      </c>
      <c r="AE52" s="41" t="str" cm="1">
        <f t="array" ref="AE52">IF(Table2511[[#This Row],[9]]="","",Table2511[[#This Row],[Weight]:[Weight]]-(Table2511[[#This Row],[Weight]:[Weight]]*((_xlfn.XMATCH(Table2511[[#This Row],[9]],Table2511[[#This Row],[1]:[11]],0))-1)/(COUNTA(Table2511[[#This Row],[1]:[11]])-COUNTBLANK(Table2511[[#This Row],[1]:[11]])-1)))</f>
        <v/>
      </c>
      <c r="AF52" s="41" t="str" cm="1">
        <f t="array" ref="AF52">IF(Table2511[[#This Row],[10]]="","",Table2511[[#This Row],[Weight]:[Weight]]-(Table2511[[#This Row],[Weight]:[Weight]]*((_xlfn.XMATCH(Table2511[[#This Row],[10]],Table2511[[#This Row],[1]:[11]],0))-1)/(COUNTA(Table2511[[#This Row],[1]:[11]])-COUNTBLANK(Table2511[[#This Row],[1]:[11]])-1)))</f>
        <v/>
      </c>
      <c r="AG52" s="41" t="str" cm="1">
        <f t="array" ref="AG52">IF(Table2511[[#This Row],[11]]="","",Table2511[[#This Row],[Weight]:[Weight]]-(Table2511[[#This Row],[Weight]:[Weight]]*((_xlfn.XMATCH(Table2511[[#This Row],[11]],Table2511[[#This Row],[1]:[11]],0))-1)/(COUNTA(Table2511[[#This Row],[1]:[11]])-COUNTBLANK(Table2511[[#This Row],[1]:[11]])-1)))</f>
        <v/>
      </c>
    </row>
    <row r="53" spans="1:33" ht="72" x14ac:dyDescent="0.2">
      <c r="A53" s="117" t="s">
        <v>234</v>
      </c>
      <c r="B53" s="21" t="s">
        <v>235</v>
      </c>
      <c r="C53" s="204" t="s">
        <v>236</v>
      </c>
      <c r="D53" s="22" t="s">
        <v>60</v>
      </c>
      <c r="E53" s="23" cm="1">
        <f t="array" ref="E53">_xlfn.IFS(D53="","",D53="No interest",0,D53="Nice to have",1,D53="Useful",2,D53="Important",3,D53="Very important",4,D53="Critical",5,D53="Show stopper",6)</f>
        <v>6</v>
      </c>
      <c r="F53" s="24">
        <f t="shared" si="0"/>
        <v>2.097902097902098E-2</v>
      </c>
      <c r="G53" s="25" t="s">
        <v>403</v>
      </c>
      <c r="H53" s="25" t="str" cm="1">
        <f t="array" ref="H53">_xlfn.TEXTJOIN(" "&amp;CHAR(10),,TEXT(SUBSTITUTE(Table2511[[#This Row],[12]:[22]],".",","),"0,00%"))</f>
        <v>0,020979020979021 
0,0104895104895105 
0,00%</v>
      </c>
      <c r="I53" s="26" t="s">
        <v>404</v>
      </c>
      <c r="J53" s="27">
        <f>F53-(F53*((MATCH(Table2511[[#This Row],[Evaluators Response (SELECT)]],Table2511[[#This Row],[1]:[11]],0)-1)/(COUNTA(Table2511[[#This Row],[1]:[11]])-COUNTBLANK(Table2511[[#This Row],[1]:[11]])-1)))</f>
        <v>0</v>
      </c>
      <c r="K53" s="28"/>
      <c r="L53" s="41" t="str" cm="1">
        <f t="array" ref="L53">IFERROR(INDEX(_xlfn.UNIQUE(TRIM(_xlfn.TEXTSPLIT(Table2511[[#This Row],[Selection Option]:[Selection Option]],";"))),,L$12),"")</f>
        <v>1. Extensive functionality available</v>
      </c>
      <c r="M53" s="41" t="str" cm="1">
        <f t="array" ref="M53">IFERROR(INDEX(_xlfn.UNIQUE(TRIM(_xlfn.TEXTSPLIT(Table2511[[#This Row],[Selection Option]:[Selection Option]],";"))),,M$12),"")</f>
        <v xml:space="preserve">
2. Limited functionality available</v>
      </c>
      <c r="N53" s="41" t="str" cm="1">
        <f t="array" ref="N53">IFERROR(INDEX(_xlfn.UNIQUE(TRIM(_xlfn.TEXTSPLIT(Table2511[[#This Row],[Selection Option]:[Selection Option]],";"))),,N$12),"")</f>
        <v xml:space="preserve">
3. Functionality not available</v>
      </c>
      <c r="O53" s="41" t="str" cm="1">
        <f t="array" ref="O53">IFERROR(INDEX(_xlfn.UNIQUE(TRIM(_xlfn.TEXTSPLIT(Table2511[[#This Row],[Selection Option]:[Selection Option]],";"))),,O$12),"")</f>
        <v/>
      </c>
      <c r="P53" s="41" t="str" cm="1">
        <f t="array" ref="P53">IFERROR(INDEX(_xlfn.UNIQUE(TRIM(_xlfn.TEXTSPLIT(Table2511[[#This Row],[Selection Option]:[Selection Option]],";"))),,P$12),"")</f>
        <v/>
      </c>
      <c r="Q53" s="41" t="str" cm="1">
        <f t="array" ref="Q53">IFERROR(INDEX(_xlfn.UNIQUE(TRIM(_xlfn.TEXTSPLIT(Table2511[[#This Row],[Selection Option]:[Selection Option]],";"))),,Q$12),"")</f>
        <v/>
      </c>
      <c r="R53" s="41" t="str" cm="1">
        <f t="array" ref="R53">IFERROR(INDEX(_xlfn.UNIQUE(TRIM(_xlfn.TEXTSPLIT(Table2511[[#This Row],[Selection Option]:[Selection Option]],";"))),,R$12),"")</f>
        <v/>
      </c>
      <c r="S53" s="41" t="str" cm="1">
        <f t="array" ref="S53">IFERROR(INDEX(_xlfn.UNIQUE(TRIM(_xlfn.TEXTSPLIT(Table2511[[#This Row],[Selection Option]:[Selection Option]],";"))),,S$12),"")</f>
        <v/>
      </c>
      <c r="T53" s="41" t="str" cm="1">
        <f t="array" ref="T53">IFERROR(INDEX(_xlfn.UNIQUE(TRIM(_xlfn.TEXTSPLIT(Table2511[[#This Row],[Selection Option]:[Selection Option]],";"))),,T$12),"")</f>
        <v/>
      </c>
      <c r="U53" s="41" t="str" cm="1">
        <f t="array" ref="U53">IFERROR(INDEX(_xlfn.UNIQUE(TRIM(_xlfn.TEXTSPLIT(Table2511[[#This Row],[Selection Option]:[Selection Option]],";"))),,U$12),"")</f>
        <v/>
      </c>
      <c r="V53" s="41" t="str" cm="1">
        <f t="array" ref="V53">IFERROR(INDEX(_xlfn.UNIQUE(TRIM(_xlfn.TEXTSPLIT(Table2511[[#This Row],[Selection Option]:[Selection Option]],";"))),,V$12),"")</f>
        <v/>
      </c>
      <c r="W53" s="30" cm="1">
        <f t="array" ref="W53">IF(Table2511[[#This Row],[1]]="","",Table2511[[#This Row],[Weight]:[Weight]]-(Table2511[[#This Row],[Weight]:[Weight]]*((_xlfn.XMATCH(Table2511[[#This Row],[1]],Table2511[[#This Row],[1]:[11]],0))-1)/(COUNTA(Table2511[[#This Row],[1]:[11]])-COUNTBLANK(Table2511[[#This Row],[1]:[11]])-1)))</f>
        <v>2.097902097902098E-2</v>
      </c>
      <c r="X53" s="30" cm="1">
        <f t="array" ref="X53">IF(Table2511[[#This Row],[2]]="","",Table2511[[#This Row],[Weight]:[Weight]]-(Table2511[[#This Row],[Weight]:[Weight]]*((_xlfn.XMATCH(Table2511[[#This Row],[2]],Table2511[[#This Row],[1]:[11]],0))-1)/(COUNTA(Table2511[[#This Row],[1]:[11]])-COUNTBLANK(Table2511[[#This Row],[1]:[11]])-1)))</f>
        <v>1.048951048951049E-2</v>
      </c>
      <c r="Y53" s="30" cm="1">
        <f t="array" ref="Y53">IF(Table2511[[#This Row],[3]]="","",Table2511[[#This Row],[Weight]:[Weight]]-(Table2511[[#This Row],[Weight]:[Weight]]*((_xlfn.XMATCH(Table2511[[#This Row],[3]],Table2511[[#This Row],[1]:[11]],0))-1)/(COUNTA(Table2511[[#This Row],[1]:[11]])-COUNTBLANK(Table2511[[#This Row],[1]:[11]])-1)))</f>
        <v>0</v>
      </c>
      <c r="Z53" s="30" t="str" cm="1">
        <f t="array" ref="Z53">IF(Table2511[[#This Row],[4]]="","",Table2511[[#This Row],[Weight]:[Weight]]-(Table2511[[#This Row],[Weight]:[Weight]]*((_xlfn.XMATCH(Table2511[[#This Row],[4]],Table2511[[#This Row],[1]:[11]],0))-1)/(COUNTA(Table2511[[#This Row],[1]:[11]])-COUNTBLANK(Table2511[[#This Row],[1]:[11]])-1)))</f>
        <v/>
      </c>
      <c r="AA53" s="30" t="str" cm="1">
        <f t="array" ref="AA53">IF(Table2511[[#This Row],[5]]="","",Table2511[[#This Row],[Weight]:[Weight]]-(Table2511[[#This Row],[Weight]:[Weight]]*((_xlfn.XMATCH(Table2511[[#This Row],[5]],Table2511[[#This Row],[1]:[11]],0))-1)/(COUNTA(Table2511[[#This Row],[1]:[11]])-COUNTBLANK(Table2511[[#This Row],[1]:[11]])-1)))</f>
        <v/>
      </c>
      <c r="AB53" s="30" t="str" cm="1">
        <f t="array" ref="AB53">IF(Table2511[[#This Row],[6]]="","",Table2511[[#This Row],[Weight]:[Weight]]-(Table2511[[#This Row],[Weight]:[Weight]]*((_xlfn.XMATCH(Table2511[[#This Row],[6]],Table2511[[#This Row],[1]:[11]],0))-1)/(COUNTA(Table2511[[#This Row],[1]:[11]])-COUNTBLANK(Table2511[[#This Row],[1]:[11]])-1)))</f>
        <v/>
      </c>
      <c r="AC53" s="30" t="str" cm="1">
        <f t="array" ref="AC53">IF(Table2511[[#This Row],[7]]="","",Table2511[[#This Row],[Weight]:[Weight]]-(Table2511[[#This Row],[Weight]:[Weight]]*((_xlfn.XMATCH(Table2511[[#This Row],[7]],Table2511[[#This Row],[1]:[11]],0))-1)/(COUNTA(Table2511[[#This Row],[1]:[11]])-COUNTBLANK(Table2511[[#This Row],[1]:[11]])-1)))</f>
        <v/>
      </c>
      <c r="AD53" s="30" t="str" cm="1">
        <f t="array" ref="AD53">IF(Table2511[[#This Row],[8]]="","",Table2511[[#This Row],[Weight]:[Weight]]-(Table2511[[#This Row],[Weight]:[Weight]]*((_xlfn.XMATCH(Table2511[[#This Row],[8]],Table2511[[#This Row],[1]:[11]],0))-1)/(COUNTA(Table2511[[#This Row],[1]:[11]])-COUNTBLANK(Table2511[[#This Row],[1]:[11]])-1)))</f>
        <v/>
      </c>
      <c r="AE53" s="41" t="str" cm="1">
        <f t="array" ref="AE53">IF(Table2511[[#This Row],[9]]="","",Table2511[[#This Row],[Weight]:[Weight]]-(Table2511[[#This Row],[Weight]:[Weight]]*((_xlfn.XMATCH(Table2511[[#This Row],[9]],Table2511[[#This Row],[1]:[11]],0))-1)/(COUNTA(Table2511[[#This Row],[1]:[11]])-COUNTBLANK(Table2511[[#This Row],[1]:[11]])-1)))</f>
        <v/>
      </c>
      <c r="AF53" s="41" t="str" cm="1">
        <f t="array" ref="AF53">IF(Table2511[[#This Row],[10]]="","",Table2511[[#This Row],[Weight]:[Weight]]-(Table2511[[#This Row],[Weight]:[Weight]]*((_xlfn.XMATCH(Table2511[[#This Row],[10]],Table2511[[#This Row],[1]:[11]],0))-1)/(COUNTA(Table2511[[#This Row],[1]:[11]])-COUNTBLANK(Table2511[[#This Row],[1]:[11]])-1)))</f>
        <v/>
      </c>
      <c r="AG53" s="41" t="str" cm="1">
        <f t="array" ref="AG53">IF(Table2511[[#This Row],[11]]="","",Table2511[[#This Row],[Weight]:[Weight]]-(Table2511[[#This Row],[Weight]:[Weight]]*((_xlfn.XMATCH(Table2511[[#This Row],[11]],Table2511[[#This Row],[1]:[11]],0))-1)/(COUNTA(Table2511[[#This Row],[1]:[11]])-COUNTBLANK(Table2511[[#This Row],[1]:[11]])-1)))</f>
        <v/>
      </c>
    </row>
    <row r="54" spans="1:33" ht="72" x14ac:dyDescent="0.2">
      <c r="A54" s="117" t="s">
        <v>237</v>
      </c>
      <c r="B54" s="21" t="s">
        <v>238</v>
      </c>
      <c r="C54" s="204" t="s">
        <v>239</v>
      </c>
      <c r="D54" s="22" t="s">
        <v>60</v>
      </c>
      <c r="E54" s="23" cm="1">
        <f t="array" ref="E54">_xlfn.IFS(D54="","",D54="No interest",0,D54="Nice to have",1,D54="Useful",2,D54="Important",3,D54="Very important",4,D54="Critical",5,D54="Show stopper",6)</f>
        <v>6</v>
      </c>
      <c r="F54" s="24">
        <f t="shared" si="0"/>
        <v>2.097902097902098E-2</v>
      </c>
      <c r="G54" s="25" t="s">
        <v>403</v>
      </c>
      <c r="H54" s="25" t="str" cm="1">
        <f t="array" ref="H54">_xlfn.TEXTJOIN(" "&amp;CHAR(10),,TEXT(SUBSTITUTE(Table2511[[#This Row],[12]:[22]],".",","),"0,00%"))</f>
        <v>0,020979020979021 
0,0104895104895105 
0,00%</v>
      </c>
      <c r="I54" s="26" t="s">
        <v>404</v>
      </c>
      <c r="J54" s="27">
        <f>F54-(F54*((MATCH(Table2511[[#This Row],[Evaluators Response (SELECT)]],Table2511[[#This Row],[1]:[11]],0)-1)/(COUNTA(Table2511[[#This Row],[1]:[11]])-COUNTBLANK(Table2511[[#This Row],[1]:[11]])-1)))</f>
        <v>0</v>
      </c>
      <c r="K54" s="28"/>
      <c r="L54" s="41" t="str" cm="1">
        <f t="array" ref="L54">IFERROR(INDEX(_xlfn.UNIQUE(TRIM(_xlfn.TEXTSPLIT(Table2511[[#This Row],[Selection Option]:[Selection Option]],";"))),,L$12),"")</f>
        <v>1. Extensive functionality available</v>
      </c>
      <c r="M54" s="41" t="str" cm="1">
        <f t="array" ref="M54">IFERROR(INDEX(_xlfn.UNIQUE(TRIM(_xlfn.TEXTSPLIT(Table2511[[#This Row],[Selection Option]:[Selection Option]],";"))),,M$12),"")</f>
        <v xml:space="preserve">
2. Limited functionality available</v>
      </c>
      <c r="N54" s="41" t="str" cm="1">
        <f t="array" ref="N54">IFERROR(INDEX(_xlfn.UNIQUE(TRIM(_xlfn.TEXTSPLIT(Table2511[[#This Row],[Selection Option]:[Selection Option]],";"))),,N$12),"")</f>
        <v xml:space="preserve">
3. Functionality not available</v>
      </c>
      <c r="O54" s="41" t="str" cm="1">
        <f t="array" ref="O54">IFERROR(INDEX(_xlfn.UNIQUE(TRIM(_xlfn.TEXTSPLIT(Table2511[[#This Row],[Selection Option]:[Selection Option]],";"))),,O$12),"")</f>
        <v/>
      </c>
      <c r="P54" s="41" t="str" cm="1">
        <f t="array" ref="P54">IFERROR(INDEX(_xlfn.UNIQUE(TRIM(_xlfn.TEXTSPLIT(Table2511[[#This Row],[Selection Option]:[Selection Option]],";"))),,P$12),"")</f>
        <v/>
      </c>
      <c r="Q54" s="41" t="str" cm="1">
        <f t="array" ref="Q54">IFERROR(INDEX(_xlfn.UNIQUE(TRIM(_xlfn.TEXTSPLIT(Table2511[[#This Row],[Selection Option]:[Selection Option]],";"))),,Q$12),"")</f>
        <v/>
      </c>
      <c r="R54" s="41" t="str" cm="1">
        <f t="array" ref="R54">IFERROR(INDEX(_xlfn.UNIQUE(TRIM(_xlfn.TEXTSPLIT(Table2511[[#This Row],[Selection Option]:[Selection Option]],";"))),,R$12),"")</f>
        <v/>
      </c>
      <c r="S54" s="41" t="str" cm="1">
        <f t="array" ref="S54">IFERROR(INDEX(_xlfn.UNIQUE(TRIM(_xlfn.TEXTSPLIT(Table2511[[#This Row],[Selection Option]:[Selection Option]],";"))),,S$12),"")</f>
        <v/>
      </c>
      <c r="T54" s="41" t="str" cm="1">
        <f t="array" ref="T54">IFERROR(INDEX(_xlfn.UNIQUE(TRIM(_xlfn.TEXTSPLIT(Table2511[[#This Row],[Selection Option]:[Selection Option]],";"))),,T$12),"")</f>
        <v/>
      </c>
      <c r="U54" s="41" t="str" cm="1">
        <f t="array" ref="U54">IFERROR(INDEX(_xlfn.UNIQUE(TRIM(_xlfn.TEXTSPLIT(Table2511[[#This Row],[Selection Option]:[Selection Option]],";"))),,U$12),"")</f>
        <v/>
      </c>
      <c r="V54" s="41" t="str" cm="1">
        <f t="array" ref="V54">IFERROR(INDEX(_xlfn.UNIQUE(TRIM(_xlfn.TEXTSPLIT(Table2511[[#This Row],[Selection Option]:[Selection Option]],";"))),,V$12),"")</f>
        <v/>
      </c>
      <c r="W54" s="30" cm="1">
        <f t="array" ref="W54">IF(Table2511[[#This Row],[1]]="","",Table2511[[#This Row],[Weight]:[Weight]]-(Table2511[[#This Row],[Weight]:[Weight]]*((_xlfn.XMATCH(Table2511[[#This Row],[1]],Table2511[[#This Row],[1]:[11]],0))-1)/(COUNTA(Table2511[[#This Row],[1]:[11]])-COUNTBLANK(Table2511[[#This Row],[1]:[11]])-1)))</f>
        <v>2.097902097902098E-2</v>
      </c>
      <c r="X54" s="30" cm="1">
        <f t="array" ref="X54">IF(Table2511[[#This Row],[2]]="","",Table2511[[#This Row],[Weight]:[Weight]]-(Table2511[[#This Row],[Weight]:[Weight]]*((_xlfn.XMATCH(Table2511[[#This Row],[2]],Table2511[[#This Row],[1]:[11]],0))-1)/(COUNTA(Table2511[[#This Row],[1]:[11]])-COUNTBLANK(Table2511[[#This Row],[1]:[11]])-1)))</f>
        <v>1.048951048951049E-2</v>
      </c>
      <c r="Y54" s="30" cm="1">
        <f t="array" ref="Y54">IF(Table2511[[#This Row],[3]]="","",Table2511[[#This Row],[Weight]:[Weight]]-(Table2511[[#This Row],[Weight]:[Weight]]*((_xlfn.XMATCH(Table2511[[#This Row],[3]],Table2511[[#This Row],[1]:[11]],0))-1)/(COUNTA(Table2511[[#This Row],[1]:[11]])-COUNTBLANK(Table2511[[#This Row],[1]:[11]])-1)))</f>
        <v>0</v>
      </c>
      <c r="Z54" s="30" t="str" cm="1">
        <f t="array" ref="Z54">IF(Table2511[[#This Row],[4]]="","",Table2511[[#This Row],[Weight]:[Weight]]-(Table2511[[#This Row],[Weight]:[Weight]]*((_xlfn.XMATCH(Table2511[[#This Row],[4]],Table2511[[#This Row],[1]:[11]],0))-1)/(COUNTA(Table2511[[#This Row],[1]:[11]])-COUNTBLANK(Table2511[[#This Row],[1]:[11]])-1)))</f>
        <v/>
      </c>
      <c r="AA54" s="30" t="str" cm="1">
        <f t="array" ref="AA54">IF(Table2511[[#This Row],[5]]="","",Table2511[[#This Row],[Weight]:[Weight]]-(Table2511[[#This Row],[Weight]:[Weight]]*((_xlfn.XMATCH(Table2511[[#This Row],[5]],Table2511[[#This Row],[1]:[11]],0))-1)/(COUNTA(Table2511[[#This Row],[1]:[11]])-COUNTBLANK(Table2511[[#This Row],[1]:[11]])-1)))</f>
        <v/>
      </c>
      <c r="AB54" s="30" t="str" cm="1">
        <f t="array" ref="AB54">IF(Table2511[[#This Row],[6]]="","",Table2511[[#This Row],[Weight]:[Weight]]-(Table2511[[#This Row],[Weight]:[Weight]]*((_xlfn.XMATCH(Table2511[[#This Row],[6]],Table2511[[#This Row],[1]:[11]],0))-1)/(COUNTA(Table2511[[#This Row],[1]:[11]])-COUNTBLANK(Table2511[[#This Row],[1]:[11]])-1)))</f>
        <v/>
      </c>
      <c r="AC54" s="30" t="str" cm="1">
        <f t="array" ref="AC54">IF(Table2511[[#This Row],[7]]="","",Table2511[[#This Row],[Weight]:[Weight]]-(Table2511[[#This Row],[Weight]:[Weight]]*((_xlfn.XMATCH(Table2511[[#This Row],[7]],Table2511[[#This Row],[1]:[11]],0))-1)/(COUNTA(Table2511[[#This Row],[1]:[11]])-COUNTBLANK(Table2511[[#This Row],[1]:[11]])-1)))</f>
        <v/>
      </c>
      <c r="AD54" s="30" t="str" cm="1">
        <f t="array" ref="AD54">IF(Table2511[[#This Row],[8]]="","",Table2511[[#This Row],[Weight]:[Weight]]-(Table2511[[#This Row],[Weight]:[Weight]]*((_xlfn.XMATCH(Table2511[[#This Row],[8]],Table2511[[#This Row],[1]:[11]],0))-1)/(COUNTA(Table2511[[#This Row],[1]:[11]])-COUNTBLANK(Table2511[[#This Row],[1]:[11]])-1)))</f>
        <v/>
      </c>
      <c r="AE54" s="41" t="str" cm="1">
        <f t="array" ref="AE54">IF(Table2511[[#This Row],[9]]="","",Table2511[[#This Row],[Weight]:[Weight]]-(Table2511[[#This Row],[Weight]:[Weight]]*((_xlfn.XMATCH(Table2511[[#This Row],[9]],Table2511[[#This Row],[1]:[11]],0))-1)/(COUNTA(Table2511[[#This Row],[1]:[11]])-COUNTBLANK(Table2511[[#This Row],[1]:[11]])-1)))</f>
        <v/>
      </c>
      <c r="AF54" s="41" t="str" cm="1">
        <f t="array" ref="AF54">IF(Table2511[[#This Row],[10]]="","",Table2511[[#This Row],[Weight]:[Weight]]-(Table2511[[#This Row],[Weight]:[Weight]]*((_xlfn.XMATCH(Table2511[[#This Row],[10]],Table2511[[#This Row],[1]:[11]],0))-1)/(COUNTA(Table2511[[#This Row],[1]:[11]])-COUNTBLANK(Table2511[[#This Row],[1]:[11]])-1)))</f>
        <v/>
      </c>
      <c r="AG54" s="41" t="str" cm="1">
        <f t="array" ref="AG54">IF(Table2511[[#This Row],[11]]="","",Table2511[[#This Row],[Weight]:[Weight]]-(Table2511[[#This Row],[Weight]:[Weight]]*((_xlfn.XMATCH(Table2511[[#This Row],[11]],Table2511[[#This Row],[1]:[11]],0))-1)/(COUNTA(Table2511[[#This Row],[1]:[11]])-COUNTBLANK(Table2511[[#This Row],[1]:[11]])-1)))</f>
        <v/>
      </c>
    </row>
    <row r="55" spans="1:33" ht="72" x14ac:dyDescent="0.2">
      <c r="A55" s="117" t="s">
        <v>240</v>
      </c>
      <c r="B55" s="21" t="s">
        <v>241</v>
      </c>
      <c r="C55" s="204" t="s">
        <v>242</v>
      </c>
      <c r="D55" s="22" t="s">
        <v>60</v>
      </c>
      <c r="E55" s="23" cm="1">
        <f t="array" ref="E55">_xlfn.IFS(D55="","",D55="No interest",0,D55="Nice to have",1,D55="Useful",2,D55="Important",3,D55="Very important",4,D55="Critical",5,D55="Show stopper",6)</f>
        <v>6</v>
      </c>
      <c r="F55" s="24">
        <f t="shared" si="0"/>
        <v>2.097902097902098E-2</v>
      </c>
      <c r="G55" s="25" t="s">
        <v>403</v>
      </c>
      <c r="H55" s="25" t="str" cm="1">
        <f t="array" ref="H55">_xlfn.TEXTJOIN(" "&amp;CHAR(10),,TEXT(SUBSTITUTE(Table2511[[#This Row],[12]:[22]],".",","),"0,00%"))</f>
        <v>0,020979020979021 
0,0104895104895105 
0,00%</v>
      </c>
      <c r="I55" s="26" t="s">
        <v>404</v>
      </c>
      <c r="J55" s="27">
        <f>F55-(F55*((MATCH(Table2511[[#This Row],[Evaluators Response (SELECT)]],Table2511[[#This Row],[1]:[11]],0)-1)/(COUNTA(Table2511[[#This Row],[1]:[11]])-COUNTBLANK(Table2511[[#This Row],[1]:[11]])-1)))</f>
        <v>0</v>
      </c>
      <c r="K55" s="28"/>
      <c r="L55" s="41" t="str" cm="1">
        <f t="array" ref="L55">IFERROR(INDEX(_xlfn.UNIQUE(TRIM(_xlfn.TEXTSPLIT(Table2511[[#This Row],[Selection Option]:[Selection Option]],";"))),,L$12),"")</f>
        <v>1. Extensive functionality available</v>
      </c>
      <c r="M55" s="41" t="str" cm="1">
        <f t="array" ref="M55">IFERROR(INDEX(_xlfn.UNIQUE(TRIM(_xlfn.TEXTSPLIT(Table2511[[#This Row],[Selection Option]:[Selection Option]],";"))),,M$12),"")</f>
        <v xml:space="preserve">
2. Limited functionality available</v>
      </c>
      <c r="N55" s="41" t="str" cm="1">
        <f t="array" ref="N55">IFERROR(INDEX(_xlfn.UNIQUE(TRIM(_xlfn.TEXTSPLIT(Table2511[[#This Row],[Selection Option]:[Selection Option]],";"))),,N$12),"")</f>
        <v xml:space="preserve">
3. Functionality not available</v>
      </c>
      <c r="O55" s="41" t="str" cm="1">
        <f t="array" ref="O55">IFERROR(INDEX(_xlfn.UNIQUE(TRIM(_xlfn.TEXTSPLIT(Table2511[[#This Row],[Selection Option]:[Selection Option]],";"))),,O$12),"")</f>
        <v/>
      </c>
      <c r="P55" s="41" t="str" cm="1">
        <f t="array" ref="P55">IFERROR(INDEX(_xlfn.UNIQUE(TRIM(_xlfn.TEXTSPLIT(Table2511[[#This Row],[Selection Option]:[Selection Option]],";"))),,P$12),"")</f>
        <v/>
      </c>
      <c r="Q55" s="41" t="str" cm="1">
        <f t="array" ref="Q55">IFERROR(INDEX(_xlfn.UNIQUE(TRIM(_xlfn.TEXTSPLIT(Table2511[[#This Row],[Selection Option]:[Selection Option]],";"))),,Q$12),"")</f>
        <v/>
      </c>
      <c r="R55" s="41" t="str" cm="1">
        <f t="array" ref="R55">IFERROR(INDEX(_xlfn.UNIQUE(TRIM(_xlfn.TEXTSPLIT(Table2511[[#This Row],[Selection Option]:[Selection Option]],";"))),,R$12),"")</f>
        <v/>
      </c>
      <c r="S55" s="41" t="str" cm="1">
        <f t="array" ref="S55">IFERROR(INDEX(_xlfn.UNIQUE(TRIM(_xlfn.TEXTSPLIT(Table2511[[#This Row],[Selection Option]:[Selection Option]],";"))),,S$12),"")</f>
        <v/>
      </c>
      <c r="T55" s="41" t="str" cm="1">
        <f t="array" ref="T55">IFERROR(INDEX(_xlfn.UNIQUE(TRIM(_xlfn.TEXTSPLIT(Table2511[[#This Row],[Selection Option]:[Selection Option]],";"))),,T$12),"")</f>
        <v/>
      </c>
      <c r="U55" s="41" t="str" cm="1">
        <f t="array" ref="U55">IFERROR(INDEX(_xlfn.UNIQUE(TRIM(_xlfn.TEXTSPLIT(Table2511[[#This Row],[Selection Option]:[Selection Option]],";"))),,U$12),"")</f>
        <v/>
      </c>
      <c r="V55" s="41" t="str" cm="1">
        <f t="array" ref="V55">IFERROR(INDEX(_xlfn.UNIQUE(TRIM(_xlfn.TEXTSPLIT(Table2511[[#This Row],[Selection Option]:[Selection Option]],";"))),,V$12),"")</f>
        <v/>
      </c>
      <c r="W55" s="30" cm="1">
        <f t="array" ref="W55">IF(Table2511[[#This Row],[1]]="","",Table2511[[#This Row],[Weight]:[Weight]]-(Table2511[[#This Row],[Weight]:[Weight]]*((_xlfn.XMATCH(Table2511[[#This Row],[1]],Table2511[[#This Row],[1]:[11]],0))-1)/(COUNTA(Table2511[[#This Row],[1]:[11]])-COUNTBLANK(Table2511[[#This Row],[1]:[11]])-1)))</f>
        <v>2.097902097902098E-2</v>
      </c>
      <c r="X55" s="30" cm="1">
        <f t="array" ref="X55">IF(Table2511[[#This Row],[2]]="","",Table2511[[#This Row],[Weight]:[Weight]]-(Table2511[[#This Row],[Weight]:[Weight]]*((_xlfn.XMATCH(Table2511[[#This Row],[2]],Table2511[[#This Row],[1]:[11]],0))-1)/(COUNTA(Table2511[[#This Row],[1]:[11]])-COUNTBLANK(Table2511[[#This Row],[1]:[11]])-1)))</f>
        <v>1.048951048951049E-2</v>
      </c>
      <c r="Y55" s="30" cm="1">
        <f t="array" ref="Y55">IF(Table2511[[#This Row],[3]]="","",Table2511[[#This Row],[Weight]:[Weight]]-(Table2511[[#This Row],[Weight]:[Weight]]*((_xlfn.XMATCH(Table2511[[#This Row],[3]],Table2511[[#This Row],[1]:[11]],0))-1)/(COUNTA(Table2511[[#This Row],[1]:[11]])-COUNTBLANK(Table2511[[#This Row],[1]:[11]])-1)))</f>
        <v>0</v>
      </c>
      <c r="Z55" s="30" t="str" cm="1">
        <f t="array" ref="Z55">IF(Table2511[[#This Row],[4]]="","",Table2511[[#This Row],[Weight]:[Weight]]-(Table2511[[#This Row],[Weight]:[Weight]]*((_xlfn.XMATCH(Table2511[[#This Row],[4]],Table2511[[#This Row],[1]:[11]],0))-1)/(COUNTA(Table2511[[#This Row],[1]:[11]])-COUNTBLANK(Table2511[[#This Row],[1]:[11]])-1)))</f>
        <v/>
      </c>
      <c r="AA55" s="30" t="str" cm="1">
        <f t="array" ref="AA55">IF(Table2511[[#This Row],[5]]="","",Table2511[[#This Row],[Weight]:[Weight]]-(Table2511[[#This Row],[Weight]:[Weight]]*((_xlfn.XMATCH(Table2511[[#This Row],[5]],Table2511[[#This Row],[1]:[11]],0))-1)/(COUNTA(Table2511[[#This Row],[1]:[11]])-COUNTBLANK(Table2511[[#This Row],[1]:[11]])-1)))</f>
        <v/>
      </c>
      <c r="AB55" s="30" t="str" cm="1">
        <f t="array" ref="AB55">IF(Table2511[[#This Row],[6]]="","",Table2511[[#This Row],[Weight]:[Weight]]-(Table2511[[#This Row],[Weight]:[Weight]]*((_xlfn.XMATCH(Table2511[[#This Row],[6]],Table2511[[#This Row],[1]:[11]],0))-1)/(COUNTA(Table2511[[#This Row],[1]:[11]])-COUNTBLANK(Table2511[[#This Row],[1]:[11]])-1)))</f>
        <v/>
      </c>
      <c r="AC55" s="30" t="str" cm="1">
        <f t="array" ref="AC55">IF(Table2511[[#This Row],[7]]="","",Table2511[[#This Row],[Weight]:[Weight]]-(Table2511[[#This Row],[Weight]:[Weight]]*((_xlfn.XMATCH(Table2511[[#This Row],[7]],Table2511[[#This Row],[1]:[11]],0))-1)/(COUNTA(Table2511[[#This Row],[1]:[11]])-COUNTBLANK(Table2511[[#This Row],[1]:[11]])-1)))</f>
        <v/>
      </c>
      <c r="AD55" s="30" t="str" cm="1">
        <f t="array" ref="AD55">IF(Table2511[[#This Row],[8]]="","",Table2511[[#This Row],[Weight]:[Weight]]-(Table2511[[#This Row],[Weight]:[Weight]]*((_xlfn.XMATCH(Table2511[[#This Row],[8]],Table2511[[#This Row],[1]:[11]],0))-1)/(COUNTA(Table2511[[#This Row],[1]:[11]])-COUNTBLANK(Table2511[[#This Row],[1]:[11]])-1)))</f>
        <v/>
      </c>
      <c r="AE55" s="41" t="str" cm="1">
        <f t="array" ref="AE55">IF(Table2511[[#This Row],[9]]="","",Table2511[[#This Row],[Weight]:[Weight]]-(Table2511[[#This Row],[Weight]:[Weight]]*((_xlfn.XMATCH(Table2511[[#This Row],[9]],Table2511[[#This Row],[1]:[11]],0))-1)/(COUNTA(Table2511[[#This Row],[1]:[11]])-COUNTBLANK(Table2511[[#This Row],[1]:[11]])-1)))</f>
        <v/>
      </c>
      <c r="AF55" s="41" t="str" cm="1">
        <f t="array" ref="AF55">IF(Table2511[[#This Row],[10]]="","",Table2511[[#This Row],[Weight]:[Weight]]-(Table2511[[#This Row],[Weight]:[Weight]]*((_xlfn.XMATCH(Table2511[[#This Row],[10]],Table2511[[#This Row],[1]:[11]],0))-1)/(COUNTA(Table2511[[#This Row],[1]:[11]])-COUNTBLANK(Table2511[[#This Row],[1]:[11]])-1)))</f>
        <v/>
      </c>
      <c r="AG55" s="41" t="str" cm="1">
        <f t="array" ref="AG55">IF(Table2511[[#This Row],[11]]="","",Table2511[[#This Row],[Weight]:[Weight]]-(Table2511[[#This Row],[Weight]:[Weight]]*((_xlfn.XMATCH(Table2511[[#This Row],[11]],Table2511[[#This Row],[1]:[11]],0))-1)/(COUNTA(Table2511[[#This Row],[1]:[11]])-COUNTBLANK(Table2511[[#This Row],[1]:[11]])-1)))</f>
        <v/>
      </c>
    </row>
    <row r="56" spans="1:33" ht="72" x14ac:dyDescent="0.2">
      <c r="A56" s="117" t="s">
        <v>243</v>
      </c>
      <c r="B56" s="21" t="s">
        <v>244</v>
      </c>
      <c r="C56" s="204" t="s">
        <v>245</v>
      </c>
      <c r="D56" s="22" t="s">
        <v>60</v>
      </c>
      <c r="E56" s="23" cm="1">
        <f t="array" ref="E56">_xlfn.IFS(D56="","",D56="No interest",0,D56="Nice to have",1,D56="Useful",2,D56="Important",3,D56="Very important",4,D56="Critical",5,D56="Show stopper",6)</f>
        <v>6</v>
      </c>
      <c r="F56" s="24">
        <f t="shared" si="0"/>
        <v>2.097902097902098E-2</v>
      </c>
      <c r="G56" s="25" t="s">
        <v>403</v>
      </c>
      <c r="H56" s="25" t="str" cm="1">
        <f t="array" ref="H56">_xlfn.TEXTJOIN(" "&amp;CHAR(10),,TEXT(SUBSTITUTE(Table2511[[#This Row],[12]:[22]],".",","),"0,00%"))</f>
        <v>0,020979020979021 
0,0104895104895105 
0,00%</v>
      </c>
      <c r="I56" s="26" t="s">
        <v>404</v>
      </c>
      <c r="J56" s="27">
        <f>F56-(F56*((MATCH(Table2511[[#This Row],[Evaluators Response (SELECT)]],Table2511[[#This Row],[1]:[11]],0)-1)/(COUNTA(Table2511[[#This Row],[1]:[11]])-COUNTBLANK(Table2511[[#This Row],[1]:[11]])-1)))</f>
        <v>0</v>
      </c>
      <c r="K56" s="28"/>
      <c r="L56" s="41" t="str" cm="1">
        <f t="array" ref="L56">IFERROR(INDEX(_xlfn.UNIQUE(TRIM(_xlfn.TEXTSPLIT(Table2511[[#This Row],[Selection Option]:[Selection Option]],";"))),,L$12),"")</f>
        <v>1. Extensive functionality available</v>
      </c>
      <c r="M56" s="41" t="str" cm="1">
        <f t="array" ref="M56">IFERROR(INDEX(_xlfn.UNIQUE(TRIM(_xlfn.TEXTSPLIT(Table2511[[#This Row],[Selection Option]:[Selection Option]],";"))),,M$12),"")</f>
        <v xml:space="preserve">
2. Limited functionality available</v>
      </c>
      <c r="N56" s="41" t="str" cm="1">
        <f t="array" ref="N56">IFERROR(INDEX(_xlfn.UNIQUE(TRIM(_xlfn.TEXTSPLIT(Table2511[[#This Row],[Selection Option]:[Selection Option]],";"))),,N$12),"")</f>
        <v xml:space="preserve">
3. Functionality not available</v>
      </c>
      <c r="O56" s="41" t="str" cm="1">
        <f t="array" ref="O56">IFERROR(INDEX(_xlfn.UNIQUE(TRIM(_xlfn.TEXTSPLIT(Table2511[[#This Row],[Selection Option]:[Selection Option]],";"))),,O$12),"")</f>
        <v/>
      </c>
      <c r="P56" s="41" t="str" cm="1">
        <f t="array" ref="P56">IFERROR(INDEX(_xlfn.UNIQUE(TRIM(_xlfn.TEXTSPLIT(Table2511[[#This Row],[Selection Option]:[Selection Option]],";"))),,P$12),"")</f>
        <v/>
      </c>
      <c r="Q56" s="41" t="str" cm="1">
        <f t="array" ref="Q56">IFERROR(INDEX(_xlfn.UNIQUE(TRIM(_xlfn.TEXTSPLIT(Table2511[[#This Row],[Selection Option]:[Selection Option]],";"))),,Q$12),"")</f>
        <v/>
      </c>
      <c r="R56" s="41" t="str" cm="1">
        <f t="array" ref="R56">IFERROR(INDEX(_xlfn.UNIQUE(TRIM(_xlfn.TEXTSPLIT(Table2511[[#This Row],[Selection Option]:[Selection Option]],";"))),,R$12),"")</f>
        <v/>
      </c>
      <c r="S56" s="41" t="str" cm="1">
        <f t="array" ref="S56">IFERROR(INDEX(_xlfn.UNIQUE(TRIM(_xlfn.TEXTSPLIT(Table2511[[#This Row],[Selection Option]:[Selection Option]],";"))),,S$12),"")</f>
        <v/>
      </c>
      <c r="T56" s="41" t="str" cm="1">
        <f t="array" ref="T56">IFERROR(INDEX(_xlfn.UNIQUE(TRIM(_xlfn.TEXTSPLIT(Table2511[[#This Row],[Selection Option]:[Selection Option]],";"))),,T$12),"")</f>
        <v/>
      </c>
      <c r="U56" s="41" t="str" cm="1">
        <f t="array" ref="U56">IFERROR(INDEX(_xlfn.UNIQUE(TRIM(_xlfn.TEXTSPLIT(Table2511[[#This Row],[Selection Option]:[Selection Option]],";"))),,U$12),"")</f>
        <v/>
      </c>
      <c r="V56" s="41" t="str" cm="1">
        <f t="array" ref="V56">IFERROR(INDEX(_xlfn.UNIQUE(TRIM(_xlfn.TEXTSPLIT(Table2511[[#This Row],[Selection Option]:[Selection Option]],";"))),,V$12),"")</f>
        <v/>
      </c>
      <c r="W56" s="30" cm="1">
        <f t="array" ref="W56">IF(Table2511[[#This Row],[1]]="","",Table2511[[#This Row],[Weight]:[Weight]]-(Table2511[[#This Row],[Weight]:[Weight]]*((_xlfn.XMATCH(Table2511[[#This Row],[1]],Table2511[[#This Row],[1]:[11]],0))-1)/(COUNTA(Table2511[[#This Row],[1]:[11]])-COUNTBLANK(Table2511[[#This Row],[1]:[11]])-1)))</f>
        <v>2.097902097902098E-2</v>
      </c>
      <c r="X56" s="30" cm="1">
        <f t="array" ref="X56">IF(Table2511[[#This Row],[2]]="","",Table2511[[#This Row],[Weight]:[Weight]]-(Table2511[[#This Row],[Weight]:[Weight]]*((_xlfn.XMATCH(Table2511[[#This Row],[2]],Table2511[[#This Row],[1]:[11]],0))-1)/(COUNTA(Table2511[[#This Row],[1]:[11]])-COUNTBLANK(Table2511[[#This Row],[1]:[11]])-1)))</f>
        <v>1.048951048951049E-2</v>
      </c>
      <c r="Y56" s="30" cm="1">
        <f t="array" ref="Y56">IF(Table2511[[#This Row],[3]]="","",Table2511[[#This Row],[Weight]:[Weight]]-(Table2511[[#This Row],[Weight]:[Weight]]*((_xlfn.XMATCH(Table2511[[#This Row],[3]],Table2511[[#This Row],[1]:[11]],0))-1)/(COUNTA(Table2511[[#This Row],[1]:[11]])-COUNTBLANK(Table2511[[#This Row],[1]:[11]])-1)))</f>
        <v>0</v>
      </c>
      <c r="Z56" s="30" t="str" cm="1">
        <f t="array" ref="Z56">IF(Table2511[[#This Row],[4]]="","",Table2511[[#This Row],[Weight]:[Weight]]-(Table2511[[#This Row],[Weight]:[Weight]]*((_xlfn.XMATCH(Table2511[[#This Row],[4]],Table2511[[#This Row],[1]:[11]],0))-1)/(COUNTA(Table2511[[#This Row],[1]:[11]])-COUNTBLANK(Table2511[[#This Row],[1]:[11]])-1)))</f>
        <v/>
      </c>
      <c r="AA56" s="30" t="str" cm="1">
        <f t="array" ref="AA56">IF(Table2511[[#This Row],[5]]="","",Table2511[[#This Row],[Weight]:[Weight]]-(Table2511[[#This Row],[Weight]:[Weight]]*((_xlfn.XMATCH(Table2511[[#This Row],[5]],Table2511[[#This Row],[1]:[11]],0))-1)/(COUNTA(Table2511[[#This Row],[1]:[11]])-COUNTBLANK(Table2511[[#This Row],[1]:[11]])-1)))</f>
        <v/>
      </c>
      <c r="AB56" s="30" t="str" cm="1">
        <f t="array" ref="AB56">IF(Table2511[[#This Row],[6]]="","",Table2511[[#This Row],[Weight]:[Weight]]-(Table2511[[#This Row],[Weight]:[Weight]]*((_xlfn.XMATCH(Table2511[[#This Row],[6]],Table2511[[#This Row],[1]:[11]],0))-1)/(COUNTA(Table2511[[#This Row],[1]:[11]])-COUNTBLANK(Table2511[[#This Row],[1]:[11]])-1)))</f>
        <v/>
      </c>
      <c r="AC56" s="30" t="str" cm="1">
        <f t="array" ref="AC56">IF(Table2511[[#This Row],[7]]="","",Table2511[[#This Row],[Weight]:[Weight]]-(Table2511[[#This Row],[Weight]:[Weight]]*((_xlfn.XMATCH(Table2511[[#This Row],[7]],Table2511[[#This Row],[1]:[11]],0))-1)/(COUNTA(Table2511[[#This Row],[1]:[11]])-COUNTBLANK(Table2511[[#This Row],[1]:[11]])-1)))</f>
        <v/>
      </c>
      <c r="AD56" s="30" t="str" cm="1">
        <f t="array" ref="AD56">IF(Table2511[[#This Row],[8]]="","",Table2511[[#This Row],[Weight]:[Weight]]-(Table2511[[#This Row],[Weight]:[Weight]]*((_xlfn.XMATCH(Table2511[[#This Row],[8]],Table2511[[#This Row],[1]:[11]],0))-1)/(COUNTA(Table2511[[#This Row],[1]:[11]])-COUNTBLANK(Table2511[[#This Row],[1]:[11]])-1)))</f>
        <v/>
      </c>
      <c r="AE56" s="41" t="str" cm="1">
        <f t="array" ref="AE56">IF(Table2511[[#This Row],[9]]="","",Table2511[[#This Row],[Weight]:[Weight]]-(Table2511[[#This Row],[Weight]:[Weight]]*((_xlfn.XMATCH(Table2511[[#This Row],[9]],Table2511[[#This Row],[1]:[11]],0))-1)/(COUNTA(Table2511[[#This Row],[1]:[11]])-COUNTBLANK(Table2511[[#This Row],[1]:[11]])-1)))</f>
        <v/>
      </c>
      <c r="AF56" s="41" t="str" cm="1">
        <f t="array" ref="AF56">IF(Table2511[[#This Row],[10]]="","",Table2511[[#This Row],[Weight]:[Weight]]-(Table2511[[#This Row],[Weight]:[Weight]]*((_xlfn.XMATCH(Table2511[[#This Row],[10]],Table2511[[#This Row],[1]:[11]],0))-1)/(COUNTA(Table2511[[#This Row],[1]:[11]])-COUNTBLANK(Table2511[[#This Row],[1]:[11]])-1)))</f>
        <v/>
      </c>
      <c r="AG56" s="41" t="str" cm="1">
        <f t="array" ref="AG56">IF(Table2511[[#This Row],[11]]="","",Table2511[[#This Row],[Weight]:[Weight]]-(Table2511[[#This Row],[Weight]:[Weight]]*((_xlfn.XMATCH(Table2511[[#This Row],[11]],Table2511[[#This Row],[1]:[11]],0))-1)/(COUNTA(Table2511[[#This Row],[1]:[11]])-COUNTBLANK(Table2511[[#This Row],[1]:[11]])-1)))</f>
        <v/>
      </c>
    </row>
    <row r="57" spans="1:33" ht="105" customHeight="1" x14ac:dyDescent="0.2">
      <c r="A57" s="117" t="s">
        <v>405</v>
      </c>
      <c r="B57" s="199" t="s">
        <v>294</v>
      </c>
      <c r="C57" s="205" t="s">
        <v>406</v>
      </c>
      <c r="D57" s="22" t="s">
        <v>106</v>
      </c>
      <c r="E57" s="23" cm="1">
        <f t="array" ref="E57">_xlfn.IFS(D57="","",D57="No interest",0,D57="Nice to have",1,D57="Useful",2,D57="Important",3,D57="Very important",4,D57="Critical",5,D57="Show stopper",6)</f>
        <v>5</v>
      </c>
      <c r="F57" s="24">
        <f t="shared" ref="F57:F63" si="3">(E57/$E$12)*$D$12</f>
        <v>1.7482517482517484E-2</v>
      </c>
      <c r="G57" s="210" t="s">
        <v>407</v>
      </c>
      <c r="H57" s="25" t="str" cm="1">
        <f t="array" ref="H57">_xlfn.TEXTJOIN(" "&amp;CHAR(10),,TEXT(SUBSTITUTE(Table2511[[#This Row],[12]:[22]],".",","),"0,00%"))</f>
        <v>0,0174825174825175 
0,00%</v>
      </c>
      <c r="I57" s="26" t="s">
        <v>408</v>
      </c>
      <c r="J57" s="27">
        <f>F57-(F57*((MATCH(Table2511[[#This Row],[Evaluators Response (SELECT)]],Table2511[[#This Row],[1]:[11]],0)-1)/(COUNTA(Table2511[[#This Row],[1]:[11]])-COUNTBLANK(Table2511[[#This Row],[1]:[11]])-1)))</f>
        <v>0</v>
      </c>
      <c r="K57" s="28"/>
      <c r="L57" s="41" t="str" cm="1">
        <f t="array" ref="L57">IFERROR(INDEX(_xlfn.UNIQUE(TRIM(_xlfn.TEXTSPLIT(Table2511[[#This Row],[Selection Option]:[Selection Option]],";"))),,L$12),"")</f>
        <v>(100%) Fully comply with requirement - The proposed solution does integrate with Eskom's MS AD and Entra ID to enable SSO and MFA</v>
      </c>
      <c r="M57" s="41" t="str" cm="1">
        <f t="array" ref="M57">IFERROR(INDEX(_xlfn.UNIQUE(TRIM(_xlfn.TEXTSPLIT(Table2511[[#This Row],[Selection Option]:[Selection Option]],";"))),,M$12),"")</f>
        <v xml:space="preserve">
(0%) No compliance - The proposed solution is unable to integrate with MS AD, MDI, Entra ID and MFA.</v>
      </c>
      <c r="N57" s="41" t="str" cm="1">
        <f t="array" ref="N57">IFERROR(INDEX(_xlfn.UNIQUE(TRIM(_xlfn.TEXTSPLIT(Table2511[[#This Row],[Selection Option]:[Selection Option]],";"))),,N$12),"")</f>
        <v/>
      </c>
      <c r="O57" s="41" t="str" cm="1">
        <f t="array" ref="O57">IFERROR(INDEX(_xlfn.UNIQUE(TRIM(_xlfn.TEXTSPLIT(Table2511[[#This Row],[Selection Option]:[Selection Option]],";"))),,O$12),"")</f>
        <v/>
      </c>
      <c r="P57" s="41" t="str" cm="1">
        <f t="array" ref="P57">IFERROR(INDEX(_xlfn.UNIQUE(TRIM(_xlfn.TEXTSPLIT(Table2511[[#This Row],[Selection Option]:[Selection Option]],";"))),,P$12),"")</f>
        <v/>
      </c>
      <c r="Q57" s="41" t="str" cm="1">
        <f t="array" ref="Q57">IFERROR(INDEX(_xlfn.UNIQUE(TRIM(_xlfn.TEXTSPLIT(Table2511[[#This Row],[Selection Option]:[Selection Option]],";"))),,Q$12),"")</f>
        <v/>
      </c>
      <c r="R57" s="41" t="str" cm="1">
        <f t="array" ref="R57">IFERROR(INDEX(_xlfn.UNIQUE(TRIM(_xlfn.TEXTSPLIT(Table2511[[#This Row],[Selection Option]:[Selection Option]],";"))),,R$12),"")</f>
        <v/>
      </c>
      <c r="S57" s="41" t="str" cm="1">
        <f t="array" ref="S57">IFERROR(INDEX(_xlfn.UNIQUE(TRIM(_xlfn.TEXTSPLIT(Table2511[[#This Row],[Selection Option]:[Selection Option]],";"))),,S$12),"")</f>
        <v/>
      </c>
      <c r="T57" s="41" t="str" cm="1">
        <f t="array" ref="T57">IFERROR(INDEX(_xlfn.UNIQUE(TRIM(_xlfn.TEXTSPLIT(Table2511[[#This Row],[Selection Option]:[Selection Option]],";"))),,T$12),"")</f>
        <v/>
      </c>
      <c r="U57" s="41" t="str" cm="1">
        <f t="array" ref="U57">IFERROR(INDEX(_xlfn.UNIQUE(TRIM(_xlfn.TEXTSPLIT(Table2511[[#This Row],[Selection Option]:[Selection Option]],";"))),,U$12),"")</f>
        <v/>
      </c>
      <c r="V57" s="41" t="str" cm="1">
        <f t="array" ref="V57">IFERROR(INDEX(_xlfn.UNIQUE(TRIM(_xlfn.TEXTSPLIT(Table2511[[#This Row],[Selection Option]:[Selection Option]],";"))),,V$12),"")</f>
        <v/>
      </c>
      <c r="W57" s="30" cm="1">
        <f t="array" ref="W57">IF(Table2511[[#This Row],[1]]="","",Table2511[[#This Row],[Weight]:[Weight]]-(Table2511[[#This Row],[Weight]:[Weight]]*((_xlfn.XMATCH(Table2511[[#This Row],[1]],Table2511[[#This Row],[1]:[11]],0))-1)/(COUNTA(Table2511[[#This Row],[1]:[11]])-COUNTBLANK(Table2511[[#This Row],[1]:[11]])-1)))</f>
        <v>1.7482517482517484E-2</v>
      </c>
      <c r="X57" s="30" cm="1">
        <f t="array" ref="X57">IF(Table2511[[#This Row],[2]]="","",Table2511[[#This Row],[Weight]:[Weight]]-(Table2511[[#This Row],[Weight]:[Weight]]*((_xlfn.XMATCH(Table2511[[#This Row],[2]],Table2511[[#This Row],[1]:[11]],0))-1)/(COUNTA(Table2511[[#This Row],[1]:[11]])-COUNTBLANK(Table2511[[#This Row],[1]:[11]])-1)))</f>
        <v>0</v>
      </c>
      <c r="Y57" s="30" t="str" cm="1">
        <f t="array" ref="Y57">IF(Table2511[[#This Row],[3]]="","",Table2511[[#This Row],[Weight]:[Weight]]-(Table2511[[#This Row],[Weight]:[Weight]]*((_xlfn.XMATCH(Table2511[[#This Row],[3]],Table2511[[#This Row],[1]:[11]],0))-1)/(COUNTA(Table2511[[#This Row],[1]:[11]])-COUNTBLANK(Table2511[[#This Row],[1]:[11]])-1)))</f>
        <v/>
      </c>
      <c r="Z57" s="30" t="str" cm="1">
        <f t="array" ref="Z57">IF(Table2511[[#This Row],[4]]="","",Table2511[[#This Row],[Weight]:[Weight]]-(Table2511[[#This Row],[Weight]:[Weight]]*((_xlfn.XMATCH(Table2511[[#This Row],[4]],Table2511[[#This Row],[1]:[11]],0))-1)/(COUNTA(Table2511[[#This Row],[1]:[11]])-COUNTBLANK(Table2511[[#This Row],[1]:[11]])-1)))</f>
        <v/>
      </c>
      <c r="AA57" s="30" t="str" cm="1">
        <f t="array" ref="AA57">IF(Table2511[[#This Row],[5]]="","",Table2511[[#This Row],[Weight]:[Weight]]-(Table2511[[#This Row],[Weight]:[Weight]]*((_xlfn.XMATCH(Table2511[[#This Row],[5]],Table2511[[#This Row],[1]:[11]],0))-1)/(COUNTA(Table2511[[#This Row],[1]:[11]])-COUNTBLANK(Table2511[[#This Row],[1]:[11]])-1)))</f>
        <v/>
      </c>
      <c r="AB57" s="30" t="str" cm="1">
        <f t="array" ref="AB57">IF(Table2511[[#This Row],[6]]="","",Table2511[[#This Row],[Weight]:[Weight]]-(Table2511[[#This Row],[Weight]:[Weight]]*((_xlfn.XMATCH(Table2511[[#This Row],[6]],Table2511[[#This Row],[1]:[11]],0))-1)/(COUNTA(Table2511[[#This Row],[1]:[11]])-COUNTBLANK(Table2511[[#This Row],[1]:[11]])-1)))</f>
        <v/>
      </c>
      <c r="AC57" s="30" t="str" cm="1">
        <f t="array" ref="AC57">IF(Table2511[[#This Row],[7]]="","",Table2511[[#This Row],[Weight]:[Weight]]-(Table2511[[#This Row],[Weight]:[Weight]]*((_xlfn.XMATCH(Table2511[[#This Row],[7]],Table2511[[#This Row],[1]:[11]],0))-1)/(COUNTA(Table2511[[#This Row],[1]:[11]])-COUNTBLANK(Table2511[[#This Row],[1]:[11]])-1)))</f>
        <v/>
      </c>
      <c r="AD57" s="30" t="str" cm="1">
        <f t="array" ref="AD57">IF(Table2511[[#This Row],[8]]="","",Table2511[[#This Row],[Weight]:[Weight]]-(Table2511[[#This Row],[Weight]:[Weight]]*((_xlfn.XMATCH(Table2511[[#This Row],[8]],Table2511[[#This Row],[1]:[11]],0))-1)/(COUNTA(Table2511[[#This Row],[1]:[11]])-COUNTBLANK(Table2511[[#This Row],[1]:[11]])-1)))</f>
        <v/>
      </c>
      <c r="AE57" s="41" t="str" cm="1">
        <f t="array" ref="AE57">IF(Table2511[[#This Row],[9]]="","",Table2511[[#This Row],[Weight]:[Weight]]-(Table2511[[#This Row],[Weight]:[Weight]]*((_xlfn.XMATCH(Table2511[[#This Row],[9]],Table2511[[#This Row],[1]:[11]],0))-1)/(COUNTA(Table2511[[#This Row],[1]:[11]])-COUNTBLANK(Table2511[[#This Row],[1]:[11]])-1)))</f>
        <v/>
      </c>
      <c r="AF57" s="41" t="str" cm="1">
        <f t="array" ref="AF57">IF(Table2511[[#This Row],[10]]="","",Table2511[[#This Row],[Weight]:[Weight]]-(Table2511[[#This Row],[Weight]:[Weight]]*((_xlfn.XMATCH(Table2511[[#This Row],[10]],Table2511[[#This Row],[1]:[11]],0))-1)/(COUNTA(Table2511[[#This Row],[1]:[11]])-COUNTBLANK(Table2511[[#This Row],[1]:[11]])-1)))</f>
        <v/>
      </c>
      <c r="AG57" s="41" t="str" cm="1">
        <f t="array" ref="AG57">IF(Table2511[[#This Row],[11]]="","",Table2511[[#This Row],[Weight]:[Weight]]-(Table2511[[#This Row],[Weight]:[Weight]]*((_xlfn.XMATCH(Table2511[[#This Row],[11]],Table2511[[#This Row],[1]:[11]],0))-1)/(COUNTA(Table2511[[#This Row],[1]:[11]])-COUNTBLANK(Table2511[[#This Row],[1]:[11]])-1)))</f>
        <v/>
      </c>
    </row>
    <row r="58" spans="1:33" ht="96" x14ac:dyDescent="0.2">
      <c r="A58" s="117" t="s">
        <v>409</v>
      </c>
      <c r="B58" s="206" t="s">
        <v>410</v>
      </c>
      <c r="C58" s="207" t="s">
        <v>411</v>
      </c>
      <c r="D58" s="22" t="s">
        <v>106</v>
      </c>
      <c r="E58" s="23" cm="1">
        <f t="array" ref="E58">_xlfn.IFS(D58="","",D58="No interest",0,D58="Nice to have",1,D58="Useful",2,D58="Important",3,D58="Very important",4,D58="Critical",5,D58="Show stopper",6)</f>
        <v>5</v>
      </c>
      <c r="F58" s="24">
        <f t="shared" si="3"/>
        <v>1.7482517482517484E-2</v>
      </c>
      <c r="G58" s="210" t="s">
        <v>412</v>
      </c>
      <c r="H58" s="25" t="str" cm="1">
        <f t="array" ref="H58">_xlfn.TEXTJOIN(" "&amp;CHAR(10),,TEXT(SUBSTITUTE(Table2511[[#This Row],[12]:[22]],".",","),"0,00%"))</f>
        <v>0,0174825174825175 
0,00%</v>
      </c>
      <c r="I58" s="26" t="s">
        <v>413</v>
      </c>
      <c r="J58" s="27">
        <f>F58-(F58*((MATCH(Table2511[[#This Row],[Evaluators Response (SELECT)]],Table2511[[#This Row],[1]:[11]],0)-1)/(COUNTA(Table2511[[#This Row],[1]:[11]])-COUNTBLANK(Table2511[[#This Row],[1]:[11]])-1)))</f>
        <v>0</v>
      </c>
      <c r="K58" s="28"/>
      <c r="L58" s="41" t="str" cm="1">
        <f t="array" ref="L58">IFERROR(INDEX(_xlfn.UNIQUE(TRIM(_xlfn.TEXTSPLIT(Table2511[[#This Row],[Selection Option]:[Selection Option]],";"))),,L$12),"")</f>
        <v>(100%) Fully comply with requirement - The proposed solution does support and employ RBAC mechanism</v>
      </c>
      <c r="M58" s="41" t="str" cm="1">
        <f t="array" ref="M58">IFERROR(INDEX(_xlfn.UNIQUE(TRIM(_xlfn.TEXTSPLIT(Table2511[[#This Row],[Selection Option]:[Selection Option]],";"))),,M$12),"")</f>
        <v xml:space="preserve">
(0%) No compliance - The system does not support RBAC.</v>
      </c>
      <c r="N58" s="41" t="str" cm="1">
        <f t="array" ref="N58">IFERROR(INDEX(_xlfn.UNIQUE(TRIM(_xlfn.TEXTSPLIT(Table2511[[#This Row],[Selection Option]:[Selection Option]],";"))),,N$12),"")</f>
        <v/>
      </c>
      <c r="O58" s="41" t="str" cm="1">
        <f t="array" ref="O58">IFERROR(INDEX(_xlfn.UNIQUE(TRIM(_xlfn.TEXTSPLIT(Table2511[[#This Row],[Selection Option]:[Selection Option]],";"))),,O$12),"")</f>
        <v/>
      </c>
      <c r="P58" s="41" t="str" cm="1">
        <f t="array" ref="P58">IFERROR(INDEX(_xlfn.UNIQUE(TRIM(_xlfn.TEXTSPLIT(Table2511[[#This Row],[Selection Option]:[Selection Option]],";"))),,P$12),"")</f>
        <v/>
      </c>
      <c r="Q58" s="41" t="str" cm="1">
        <f t="array" ref="Q58">IFERROR(INDEX(_xlfn.UNIQUE(TRIM(_xlfn.TEXTSPLIT(Table2511[[#This Row],[Selection Option]:[Selection Option]],";"))),,Q$12),"")</f>
        <v/>
      </c>
      <c r="R58" s="41" t="str" cm="1">
        <f t="array" ref="R58">IFERROR(INDEX(_xlfn.UNIQUE(TRIM(_xlfn.TEXTSPLIT(Table2511[[#This Row],[Selection Option]:[Selection Option]],";"))),,R$12),"")</f>
        <v/>
      </c>
      <c r="S58" s="41" t="str" cm="1">
        <f t="array" ref="S58">IFERROR(INDEX(_xlfn.UNIQUE(TRIM(_xlfn.TEXTSPLIT(Table2511[[#This Row],[Selection Option]:[Selection Option]],";"))),,S$12),"")</f>
        <v/>
      </c>
      <c r="T58" s="41" t="str" cm="1">
        <f t="array" ref="T58">IFERROR(INDEX(_xlfn.UNIQUE(TRIM(_xlfn.TEXTSPLIT(Table2511[[#This Row],[Selection Option]:[Selection Option]],";"))),,T$12),"")</f>
        <v/>
      </c>
      <c r="U58" s="41" t="str" cm="1">
        <f t="array" ref="U58">IFERROR(INDEX(_xlfn.UNIQUE(TRIM(_xlfn.TEXTSPLIT(Table2511[[#This Row],[Selection Option]:[Selection Option]],";"))),,U$12),"")</f>
        <v/>
      </c>
      <c r="V58" s="41" t="str" cm="1">
        <f t="array" ref="V58">IFERROR(INDEX(_xlfn.UNIQUE(TRIM(_xlfn.TEXTSPLIT(Table2511[[#This Row],[Selection Option]:[Selection Option]],";"))),,V$12),"")</f>
        <v/>
      </c>
      <c r="W58" s="30" cm="1">
        <f t="array" ref="W58">IF(Table2511[[#This Row],[1]]="","",Table2511[[#This Row],[Weight]:[Weight]]-(Table2511[[#This Row],[Weight]:[Weight]]*((_xlfn.XMATCH(Table2511[[#This Row],[1]],Table2511[[#This Row],[1]:[11]],0))-1)/(COUNTA(Table2511[[#This Row],[1]:[11]])-COUNTBLANK(Table2511[[#This Row],[1]:[11]])-1)))</f>
        <v>1.7482517482517484E-2</v>
      </c>
      <c r="X58" s="30" cm="1">
        <f t="array" ref="X58">IF(Table2511[[#This Row],[2]]="","",Table2511[[#This Row],[Weight]:[Weight]]-(Table2511[[#This Row],[Weight]:[Weight]]*((_xlfn.XMATCH(Table2511[[#This Row],[2]],Table2511[[#This Row],[1]:[11]],0))-1)/(COUNTA(Table2511[[#This Row],[1]:[11]])-COUNTBLANK(Table2511[[#This Row],[1]:[11]])-1)))</f>
        <v>0</v>
      </c>
      <c r="Y58" s="30" t="str" cm="1">
        <f t="array" ref="Y58">IF(Table2511[[#This Row],[3]]="","",Table2511[[#This Row],[Weight]:[Weight]]-(Table2511[[#This Row],[Weight]:[Weight]]*((_xlfn.XMATCH(Table2511[[#This Row],[3]],Table2511[[#This Row],[1]:[11]],0))-1)/(COUNTA(Table2511[[#This Row],[1]:[11]])-COUNTBLANK(Table2511[[#This Row],[1]:[11]])-1)))</f>
        <v/>
      </c>
      <c r="Z58" s="30" t="str" cm="1">
        <f t="array" ref="Z58">IF(Table2511[[#This Row],[4]]="","",Table2511[[#This Row],[Weight]:[Weight]]-(Table2511[[#This Row],[Weight]:[Weight]]*((_xlfn.XMATCH(Table2511[[#This Row],[4]],Table2511[[#This Row],[1]:[11]],0))-1)/(COUNTA(Table2511[[#This Row],[1]:[11]])-COUNTBLANK(Table2511[[#This Row],[1]:[11]])-1)))</f>
        <v/>
      </c>
      <c r="AA58" s="30" t="str" cm="1">
        <f t="array" ref="AA58">IF(Table2511[[#This Row],[5]]="","",Table2511[[#This Row],[Weight]:[Weight]]-(Table2511[[#This Row],[Weight]:[Weight]]*((_xlfn.XMATCH(Table2511[[#This Row],[5]],Table2511[[#This Row],[1]:[11]],0))-1)/(COUNTA(Table2511[[#This Row],[1]:[11]])-COUNTBLANK(Table2511[[#This Row],[1]:[11]])-1)))</f>
        <v/>
      </c>
      <c r="AB58" s="30" t="str" cm="1">
        <f t="array" ref="AB58">IF(Table2511[[#This Row],[6]]="","",Table2511[[#This Row],[Weight]:[Weight]]-(Table2511[[#This Row],[Weight]:[Weight]]*((_xlfn.XMATCH(Table2511[[#This Row],[6]],Table2511[[#This Row],[1]:[11]],0))-1)/(COUNTA(Table2511[[#This Row],[1]:[11]])-COUNTBLANK(Table2511[[#This Row],[1]:[11]])-1)))</f>
        <v/>
      </c>
      <c r="AC58" s="30" t="str" cm="1">
        <f t="array" ref="AC58">IF(Table2511[[#This Row],[7]]="","",Table2511[[#This Row],[Weight]:[Weight]]-(Table2511[[#This Row],[Weight]:[Weight]]*((_xlfn.XMATCH(Table2511[[#This Row],[7]],Table2511[[#This Row],[1]:[11]],0))-1)/(COUNTA(Table2511[[#This Row],[1]:[11]])-COUNTBLANK(Table2511[[#This Row],[1]:[11]])-1)))</f>
        <v/>
      </c>
      <c r="AD58" s="30" t="str" cm="1">
        <f t="array" ref="AD58">IF(Table2511[[#This Row],[8]]="","",Table2511[[#This Row],[Weight]:[Weight]]-(Table2511[[#This Row],[Weight]:[Weight]]*((_xlfn.XMATCH(Table2511[[#This Row],[8]],Table2511[[#This Row],[1]:[11]],0))-1)/(COUNTA(Table2511[[#This Row],[1]:[11]])-COUNTBLANK(Table2511[[#This Row],[1]:[11]])-1)))</f>
        <v/>
      </c>
      <c r="AE58" s="41" t="str" cm="1">
        <f t="array" ref="AE58">IF(Table2511[[#This Row],[9]]="","",Table2511[[#This Row],[Weight]:[Weight]]-(Table2511[[#This Row],[Weight]:[Weight]]*((_xlfn.XMATCH(Table2511[[#This Row],[9]],Table2511[[#This Row],[1]:[11]],0))-1)/(COUNTA(Table2511[[#This Row],[1]:[11]])-COUNTBLANK(Table2511[[#This Row],[1]:[11]])-1)))</f>
        <v/>
      </c>
      <c r="AF58" s="41" t="str" cm="1">
        <f t="array" ref="AF58">IF(Table2511[[#This Row],[10]]="","",Table2511[[#This Row],[Weight]:[Weight]]-(Table2511[[#This Row],[Weight]:[Weight]]*((_xlfn.XMATCH(Table2511[[#This Row],[10]],Table2511[[#This Row],[1]:[11]],0))-1)/(COUNTA(Table2511[[#This Row],[1]:[11]])-COUNTBLANK(Table2511[[#This Row],[1]:[11]])-1)))</f>
        <v/>
      </c>
      <c r="AG58" s="41" t="str" cm="1">
        <f t="array" ref="AG58">IF(Table2511[[#This Row],[11]]="","",Table2511[[#This Row],[Weight]:[Weight]]-(Table2511[[#This Row],[Weight]:[Weight]]*((_xlfn.XMATCH(Table2511[[#This Row],[11]],Table2511[[#This Row],[1]:[11]],0))-1)/(COUNTA(Table2511[[#This Row],[1]:[11]])-COUNTBLANK(Table2511[[#This Row],[1]:[11]])-1)))</f>
        <v/>
      </c>
    </row>
    <row r="59" spans="1:33" ht="132" x14ac:dyDescent="0.2">
      <c r="A59" s="117" t="s">
        <v>414</v>
      </c>
      <c r="B59" s="208" t="s">
        <v>415</v>
      </c>
      <c r="C59" s="207" t="s">
        <v>416</v>
      </c>
      <c r="D59" s="22" t="s">
        <v>106</v>
      </c>
      <c r="E59" s="23" cm="1">
        <f t="array" ref="E59">_xlfn.IFS(D59="","",D59="No interest",0,D59="Nice to have",1,D59="Useful",2,D59="Important",3,D59="Very important",4,D59="Critical",5,D59="Show stopper",6)</f>
        <v>5</v>
      </c>
      <c r="F59" s="24">
        <f t="shared" si="3"/>
        <v>1.7482517482517484E-2</v>
      </c>
      <c r="G59" s="210" t="s">
        <v>417</v>
      </c>
      <c r="H59" s="25" t="str" cm="1">
        <f t="array" ref="H59">_xlfn.TEXTJOIN(" "&amp;CHAR(10),,TEXT(SUBSTITUTE(Table2511[[#This Row],[12]:[22]],".",","),"0,00%"))</f>
        <v>0,0174825174825175 
0,00%</v>
      </c>
      <c r="I59" s="26" t="s">
        <v>418</v>
      </c>
      <c r="J59" s="27">
        <f>F59-(F59*((MATCH(Table2511[[#This Row],[Evaluators Response (SELECT)]],Table2511[[#This Row],[1]:[11]],0)-1)/(COUNTA(Table2511[[#This Row],[1]:[11]])-COUNTBLANK(Table2511[[#This Row],[1]:[11]])-1)))</f>
        <v>0</v>
      </c>
      <c r="K59" s="28"/>
      <c r="L59" s="41" t="str" cm="1">
        <f t="array" ref="L59">IFERROR(INDEX(_xlfn.UNIQUE(TRIM(_xlfn.TEXTSPLIT(Table2511[[#This Row],[Selection Option]:[Selection Option]],";"))),,L$12),"")</f>
        <v>(100%) Fully comply with requirement - The proposed solution does encrypt data at rest (AES-256) and in transit (TLS 1.3 or later version)</v>
      </c>
      <c r="M59" s="41" t="str" cm="1">
        <f t="array" ref="M59">IFERROR(INDEX(_xlfn.UNIQUE(TRIM(_xlfn.TEXTSPLIT(Table2511[[#This Row],[Selection Option]:[Selection Option]],";"))),,M$12),"")</f>
        <v xml:space="preserve">
(0%) No compliance - The proposed solution does not encrypt data at rest (AES-256) and in transit (TLS 1.3 or later version)</v>
      </c>
      <c r="N59" s="41" t="str" cm="1">
        <f t="array" ref="N59">IFERROR(INDEX(_xlfn.UNIQUE(TRIM(_xlfn.TEXTSPLIT(Table2511[[#This Row],[Selection Option]:[Selection Option]],";"))),,N$12),"")</f>
        <v/>
      </c>
      <c r="O59" s="41" t="str" cm="1">
        <f t="array" ref="O59">IFERROR(INDEX(_xlfn.UNIQUE(TRIM(_xlfn.TEXTSPLIT(Table2511[[#This Row],[Selection Option]:[Selection Option]],";"))),,O$12),"")</f>
        <v/>
      </c>
      <c r="P59" s="41" t="str" cm="1">
        <f t="array" ref="P59">IFERROR(INDEX(_xlfn.UNIQUE(TRIM(_xlfn.TEXTSPLIT(Table2511[[#This Row],[Selection Option]:[Selection Option]],";"))),,P$12),"")</f>
        <v/>
      </c>
      <c r="Q59" s="41" t="str" cm="1">
        <f t="array" ref="Q59">IFERROR(INDEX(_xlfn.UNIQUE(TRIM(_xlfn.TEXTSPLIT(Table2511[[#This Row],[Selection Option]:[Selection Option]],";"))),,Q$12),"")</f>
        <v/>
      </c>
      <c r="R59" s="41" t="str" cm="1">
        <f t="array" ref="R59">IFERROR(INDEX(_xlfn.UNIQUE(TRIM(_xlfn.TEXTSPLIT(Table2511[[#This Row],[Selection Option]:[Selection Option]],";"))),,R$12),"")</f>
        <v/>
      </c>
      <c r="S59" s="41" t="str" cm="1">
        <f t="array" ref="S59">IFERROR(INDEX(_xlfn.UNIQUE(TRIM(_xlfn.TEXTSPLIT(Table2511[[#This Row],[Selection Option]:[Selection Option]],";"))),,S$12),"")</f>
        <v/>
      </c>
      <c r="T59" s="41" t="str" cm="1">
        <f t="array" ref="T59">IFERROR(INDEX(_xlfn.UNIQUE(TRIM(_xlfn.TEXTSPLIT(Table2511[[#This Row],[Selection Option]:[Selection Option]],";"))),,T$12),"")</f>
        <v/>
      </c>
      <c r="U59" s="41" t="str" cm="1">
        <f t="array" ref="U59">IFERROR(INDEX(_xlfn.UNIQUE(TRIM(_xlfn.TEXTSPLIT(Table2511[[#This Row],[Selection Option]:[Selection Option]],";"))),,U$12),"")</f>
        <v/>
      </c>
      <c r="V59" s="41" t="str" cm="1">
        <f t="array" ref="V59">IFERROR(INDEX(_xlfn.UNIQUE(TRIM(_xlfn.TEXTSPLIT(Table2511[[#This Row],[Selection Option]:[Selection Option]],";"))),,V$12),"")</f>
        <v/>
      </c>
      <c r="W59" s="30" cm="1">
        <f t="array" ref="W59">IF(Table2511[[#This Row],[1]]="","",Table2511[[#This Row],[Weight]:[Weight]]-(Table2511[[#This Row],[Weight]:[Weight]]*((_xlfn.XMATCH(Table2511[[#This Row],[1]],Table2511[[#This Row],[1]:[11]],0))-1)/(COUNTA(Table2511[[#This Row],[1]:[11]])-COUNTBLANK(Table2511[[#This Row],[1]:[11]])-1)))</f>
        <v>1.7482517482517484E-2</v>
      </c>
      <c r="X59" s="30" cm="1">
        <f t="array" ref="X59">IF(Table2511[[#This Row],[2]]="","",Table2511[[#This Row],[Weight]:[Weight]]-(Table2511[[#This Row],[Weight]:[Weight]]*((_xlfn.XMATCH(Table2511[[#This Row],[2]],Table2511[[#This Row],[1]:[11]],0))-1)/(COUNTA(Table2511[[#This Row],[1]:[11]])-COUNTBLANK(Table2511[[#This Row],[1]:[11]])-1)))</f>
        <v>0</v>
      </c>
      <c r="Y59" s="30" t="str" cm="1">
        <f t="array" ref="Y59">IF(Table2511[[#This Row],[3]]="","",Table2511[[#This Row],[Weight]:[Weight]]-(Table2511[[#This Row],[Weight]:[Weight]]*((_xlfn.XMATCH(Table2511[[#This Row],[3]],Table2511[[#This Row],[1]:[11]],0))-1)/(COUNTA(Table2511[[#This Row],[1]:[11]])-COUNTBLANK(Table2511[[#This Row],[1]:[11]])-1)))</f>
        <v/>
      </c>
      <c r="Z59" s="30" t="str" cm="1">
        <f t="array" ref="Z59">IF(Table2511[[#This Row],[4]]="","",Table2511[[#This Row],[Weight]:[Weight]]-(Table2511[[#This Row],[Weight]:[Weight]]*((_xlfn.XMATCH(Table2511[[#This Row],[4]],Table2511[[#This Row],[1]:[11]],0))-1)/(COUNTA(Table2511[[#This Row],[1]:[11]])-COUNTBLANK(Table2511[[#This Row],[1]:[11]])-1)))</f>
        <v/>
      </c>
      <c r="AA59" s="30" t="str" cm="1">
        <f t="array" ref="AA59">IF(Table2511[[#This Row],[5]]="","",Table2511[[#This Row],[Weight]:[Weight]]-(Table2511[[#This Row],[Weight]:[Weight]]*((_xlfn.XMATCH(Table2511[[#This Row],[5]],Table2511[[#This Row],[1]:[11]],0))-1)/(COUNTA(Table2511[[#This Row],[1]:[11]])-COUNTBLANK(Table2511[[#This Row],[1]:[11]])-1)))</f>
        <v/>
      </c>
      <c r="AB59" s="30" t="str" cm="1">
        <f t="array" ref="AB59">IF(Table2511[[#This Row],[6]]="","",Table2511[[#This Row],[Weight]:[Weight]]-(Table2511[[#This Row],[Weight]:[Weight]]*((_xlfn.XMATCH(Table2511[[#This Row],[6]],Table2511[[#This Row],[1]:[11]],0))-1)/(COUNTA(Table2511[[#This Row],[1]:[11]])-COUNTBLANK(Table2511[[#This Row],[1]:[11]])-1)))</f>
        <v/>
      </c>
      <c r="AC59" s="30" t="str" cm="1">
        <f t="array" ref="AC59">IF(Table2511[[#This Row],[7]]="","",Table2511[[#This Row],[Weight]:[Weight]]-(Table2511[[#This Row],[Weight]:[Weight]]*((_xlfn.XMATCH(Table2511[[#This Row],[7]],Table2511[[#This Row],[1]:[11]],0))-1)/(COUNTA(Table2511[[#This Row],[1]:[11]])-COUNTBLANK(Table2511[[#This Row],[1]:[11]])-1)))</f>
        <v/>
      </c>
      <c r="AD59" s="30" t="str" cm="1">
        <f t="array" ref="AD59">IF(Table2511[[#This Row],[8]]="","",Table2511[[#This Row],[Weight]:[Weight]]-(Table2511[[#This Row],[Weight]:[Weight]]*((_xlfn.XMATCH(Table2511[[#This Row],[8]],Table2511[[#This Row],[1]:[11]],0))-1)/(COUNTA(Table2511[[#This Row],[1]:[11]])-COUNTBLANK(Table2511[[#This Row],[1]:[11]])-1)))</f>
        <v/>
      </c>
      <c r="AE59" s="41" t="str" cm="1">
        <f t="array" ref="AE59">IF(Table2511[[#This Row],[9]]="","",Table2511[[#This Row],[Weight]:[Weight]]-(Table2511[[#This Row],[Weight]:[Weight]]*((_xlfn.XMATCH(Table2511[[#This Row],[9]],Table2511[[#This Row],[1]:[11]],0))-1)/(COUNTA(Table2511[[#This Row],[1]:[11]])-COUNTBLANK(Table2511[[#This Row],[1]:[11]])-1)))</f>
        <v/>
      </c>
      <c r="AF59" s="41" t="str" cm="1">
        <f t="array" ref="AF59">IF(Table2511[[#This Row],[10]]="","",Table2511[[#This Row],[Weight]:[Weight]]-(Table2511[[#This Row],[Weight]:[Weight]]*((_xlfn.XMATCH(Table2511[[#This Row],[10]],Table2511[[#This Row],[1]:[11]],0))-1)/(COUNTA(Table2511[[#This Row],[1]:[11]])-COUNTBLANK(Table2511[[#This Row],[1]:[11]])-1)))</f>
        <v/>
      </c>
      <c r="AG59" s="41" t="str" cm="1">
        <f t="array" ref="AG59">IF(Table2511[[#This Row],[11]]="","",Table2511[[#This Row],[Weight]:[Weight]]-(Table2511[[#This Row],[Weight]:[Weight]]*((_xlfn.XMATCH(Table2511[[#This Row],[11]],Table2511[[#This Row],[1]:[11]],0))-1)/(COUNTA(Table2511[[#This Row],[1]:[11]])-COUNTBLANK(Table2511[[#This Row],[1]:[11]])-1)))</f>
        <v/>
      </c>
    </row>
    <row r="60" spans="1:33" ht="204" x14ac:dyDescent="0.2">
      <c r="A60" s="117" t="s">
        <v>419</v>
      </c>
      <c r="B60" s="207" t="s">
        <v>420</v>
      </c>
      <c r="C60" s="207" t="s">
        <v>421</v>
      </c>
      <c r="D60" s="22" t="s">
        <v>106</v>
      </c>
      <c r="E60" s="23" cm="1">
        <f t="array" ref="E60">_xlfn.IFS(D60="","",D60="No interest",0,D60="Nice to have",1,D60="Useful",2,D60="Important",3,D60="Very important",4,D60="Critical",5,D60="Show stopper",6)</f>
        <v>5</v>
      </c>
      <c r="F60" s="24">
        <f t="shared" si="3"/>
        <v>1.7482517482517484E-2</v>
      </c>
      <c r="G60" s="210" t="s">
        <v>321</v>
      </c>
      <c r="H60" s="25" t="str" cm="1">
        <f t="array" ref="H60">_xlfn.TEXTJOIN(" "&amp;CHAR(10),,TEXT(SUBSTITUTE(Table2511[[#This Row],[12]:[22]],".",","),"0,00%"))</f>
        <v>0,0174825174825175 
0,00%</v>
      </c>
      <c r="I60" s="26" t="s">
        <v>422</v>
      </c>
      <c r="J60" s="27">
        <f>F60-(F60*((MATCH(Table2511[[#This Row],[Evaluators Response (SELECT)]],Table2511[[#This Row],[1]:[11]],0)-1)/(COUNTA(Table2511[[#This Row],[1]:[11]])-COUNTBLANK(Table2511[[#This Row],[1]:[11]])-1)))</f>
        <v>0</v>
      </c>
      <c r="K60" s="28"/>
      <c r="L60" s="41" t="str" cm="1">
        <f t="array" ref="L60">IFERROR(INDEX(_xlfn.UNIQUE(TRIM(_xlfn.TEXTSPLIT(Table2511[[#This Row],[Selection Option]:[Selection Option]],";"))),,L$12),"")</f>
        <v>(100%) Fully comply with requirement - The proposed solution does have Audit trails, logs, user administration and user activity logs shall be enabled, encrypted, and securely kept with limited access to administrators</v>
      </c>
      <c r="M60" s="41" t="str" cm="1">
        <f t="array" ref="M60">IFERROR(INDEX(_xlfn.UNIQUE(TRIM(_xlfn.TEXTSPLIT(Table2511[[#This Row],[Selection Option]:[Selection Option]],";"))),,M$12),"")</f>
        <v xml:space="preserve">
(0%) No compliance - The proposed solution does not have Audit trails, logs, user administration and user activity logs shall be enabled, encrypted, and securely kept with limited access to administrators.</v>
      </c>
      <c r="N60" s="41" t="str" cm="1">
        <f t="array" ref="N60">IFERROR(INDEX(_xlfn.UNIQUE(TRIM(_xlfn.TEXTSPLIT(Table2511[[#This Row],[Selection Option]:[Selection Option]],";"))),,N$12),"")</f>
        <v/>
      </c>
      <c r="O60" s="41" t="str" cm="1">
        <f t="array" ref="O60">IFERROR(INDEX(_xlfn.UNIQUE(TRIM(_xlfn.TEXTSPLIT(Table2511[[#This Row],[Selection Option]:[Selection Option]],";"))),,O$12),"")</f>
        <v/>
      </c>
      <c r="P60" s="41" t="str" cm="1">
        <f t="array" ref="P60">IFERROR(INDEX(_xlfn.UNIQUE(TRIM(_xlfn.TEXTSPLIT(Table2511[[#This Row],[Selection Option]:[Selection Option]],";"))),,P$12),"")</f>
        <v/>
      </c>
      <c r="Q60" s="41" t="str" cm="1">
        <f t="array" ref="Q60">IFERROR(INDEX(_xlfn.UNIQUE(TRIM(_xlfn.TEXTSPLIT(Table2511[[#This Row],[Selection Option]:[Selection Option]],";"))),,Q$12),"")</f>
        <v/>
      </c>
      <c r="R60" s="41" t="str" cm="1">
        <f t="array" ref="R60">IFERROR(INDEX(_xlfn.UNIQUE(TRIM(_xlfn.TEXTSPLIT(Table2511[[#This Row],[Selection Option]:[Selection Option]],";"))),,R$12),"")</f>
        <v/>
      </c>
      <c r="S60" s="41" t="str" cm="1">
        <f t="array" ref="S60">IFERROR(INDEX(_xlfn.UNIQUE(TRIM(_xlfn.TEXTSPLIT(Table2511[[#This Row],[Selection Option]:[Selection Option]],";"))),,S$12),"")</f>
        <v/>
      </c>
      <c r="T60" s="41" t="str" cm="1">
        <f t="array" ref="T60">IFERROR(INDEX(_xlfn.UNIQUE(TRIM(_xlfn.TEXTSPLIT(Table2511[[#This Row],[Selection Option]:[Selection Option]],";"))),,T$12),"")</f>
        <v/>
      </c>
      <c r="U60" s="41" t="str" cm="1">
        <f t="array" ref="U60">IFERROR(INDEX(_xlfn.UNIQUE(TRIM(_xlfn.TEXTSPLIT(Table2511[[#This Row],[Selection Option]:[Selection Option]],";"))),,U$12),"")</f>
        <v/>
      </c>
      <c r="V60" s="41" t="str" cm="1">
        <f t="array" ref="V60">IFERROR(INDEX(_xlfn.UNIQUE(TRIM(_xlfn.TEXTSPLIT(Table2511[[#This Row],[Selection Option]:[Selection Option]],";"))),,V$12),"")</f>
        <v/>
      </c>
      <c r="W60" s="30" cm="1">
        <f t="array" ref="W60">IF(Table2511[[#This Row],[1]]="","",Table2511[[#This Row],[Weight]:[Weight]]-(Table2511[[#This Row],[Weight]:[Weight]]*((_xlfn.XMATCH(Table2511[[#This Row],[1]],Table2511[[#This Row],[1]:[11]],0))-1)/(COUNTA(Table2511[[#This Row],[1]:[11]])-COUNTBLANK(Table2511[[#This Row],[1]:[11]])-1)))</f>
        <v>1.7482517482517484E-2</v>
      </c>
      <c r="X60" s="30" cm="1">
        <f t="array" ref="X60">IF(Table2511[[#This Row],[2]]="","",Table2511[[#This Row],[Weight]:[Weight]]-(Table2511[[#This Row],[Weight]:[Weight]]*((_xlfn.XMATCH(Table2511[[#This Row],[2]],Table2511[[#This Row],[1]:[11]],0))-1)/(COUNTA(Table2511[[#This Row],[1]:[11]])-COUNTBLANK(Table2511[[#This Row],[1]:[11]])-1)))</f>
        <v>0</v>
      </c>
      <c r="Y60" s="30" t="str" cm="1">
        <f t="array" ref="Y60">IF(Table2511[[#This Row],[3]]="","",Table2511[[#This Row],[Weight]:[Weight]]-(Table2511[[#This Row],[Weight]:[Weight]]*((_xlfn.XMATCH(Table2511[[#This Row],[3]],Table2511[[#This Row],[1]:[11]],0))-1)/(COUNTA(Table2511[[#This Row],[1]:[11]])-COUNTBLANK(Table2511[[#This Row],[1]:[11]])-1)))</f>
        <v/>
      </c>
      <c r="Z60" s="30" t="str" cm="1">
        <f t="array" ref="Z60">IF(Table2511[[#This Row],[4]]="","",Table2511[[#This Row],[Weight]:[Weight]]-(Table2511[[#This Row],[Weight]:[Weight]]*((_xlfn.XMATCH(Table2511[[#This Row],[4]],Table2511[[#This Row],[1]:[11]],0))-1)/(COUNTA(Table2511[[#This Row],[1]:[11]])-COUNTBLANK(Table2511[[#This Row],[1]:[11]])-1)))</f>
        <v/>
      </c>
      <c r="AA60" s="30" t="str" cm="1">
        <f t="array" ref="AA60">IF(Table2511[[#This Row],[5]]="","",Table2511[[#This Row],[Weight]:[Weight]]-(Table2511[[#This Row],[Weight]:[Weight]]*((_xlfn.XMATCH(Table2511[[#This Row],[5]],Table2511[[#This Row],[1]:[11]],0))-1)/(COUNTA(Table2511[[#This Row],[1]:[11]])-COUNTBLANK(Table2511[[#This Row],[1]:[11]])-1)))</f>
        <v/>
      </c>
      <c r="AB60" s="30" t="str" cm="1">
        <f t="array" ref="AB60">IF(Table2511[[#This Row],[6]]="","",Table2511[[#This Row],[Weight]:[Weight]]-(Table2511[[#This Row],[Weight]:[Weight]]*((_xlfn.XMATCH(Table2511[[#This Row],[6]],Table2511[[#This Row],[1]:[11]],0))-1)/(COUNTA(Table2511[[#This Row],[1]:[11]])-COUNTBLANK(Table2511[[#This Row],[1]:[11]])-1)))</f>
        <v/>
      </c>
      <c r="AC60" s="30" t="str" cm="1">
        <f t="array" ref="AC60">IF(Table2511[[#This Row],[7]]="","",Table2511[[#This Row],[Weight]:[Weight]]-(Table2511[[#This Row],[Weight]:[Weight]]*((_xlfn.XMATCH(Table2511[[#This Row],[7]],Table2511[[#This Row],[1]:[11]],0))-1)/(COUNTA(Table2511[[#This Row],[1]:[11]])-COUNTBLANK(Table2511[[#This Row],[1]:[11]])-1)))</f>
        <v/>
      </c>
      <c r="AD60" s="30" t="str" cm="1">
        <f t="array" ref="AD60">IF(Table2511[[#This Row],[8]]="","",Table2511[[#This Row],[Weight]:[Weight]]-(Table2511[[#This Row],[Weight]:[Weight]]*((_xlfn.XMATCH(Table2511[[#This Row],[8]],Table2511[[#This Row],[1]:[11]],0))-1)/(COUNTA(Table2511[[#This Row],[1]:[11]])-COUNTBLANK(Table2511[[#This Row],[1]:[11]])-1)))</f>
        <v/>
      </c>
      <c r="AE60" s="41" t="str" cm="1">
        <f t="array" ref="AE60">IF(Table2511[[#This Row],[9]]="","",Table2511[[#This Row],[Weight]:[Weight]]-(Table2511[[#This Row],[Weight]:[Weight]]*((_xlfn.XMATCH(Table2511[[#This Row],[9]],Table2511[[#This Row],[1]:[11]],0))-1)/(COUNTA(Table2511[[#This Row],[1]:[11]])-COUNTBLANK(Table2511[[#This Row],[1]:[11]])-1)))</f>
        <v/>
      </c>
      <c r="AF60" s="41" t="str" cm="1">
        <f t="array" ref="AF60">IF(Table2511[[#This Row],[10]]="","",Table2511[[#This Row],[Weight]:[Weight]]-(Table2511[[#This Row],[Weight]:[Weight]]*((_xlfn.XMATCH(Table2511[[#This Row],[10]],Table2511[[#This Row],[1]:[11]],0))-1)/(COUNTA(Table2511[[#This Row],[1]:[11]])-COUNTBLANK(Table2511[[#This Row],[1]:[11]])-1)))</f>
        <v/>
      </c>
      <c r="AG60" s="41" t="str" cm="1">
        <f t="array" ref="AG60">IF(Table2511[[#This Row],[11]]="","",Table2511[[#This Row],[Weight]:[Weight]]-(Table2511[[#This Row],[Weight]:[Weight]]*((_xlfn.XMATCH(Table2511[[#This Row],[11]],Table2511[[#This Row],[1]:[11]],0))-1)/(COUNTA(Table2511[[#This Row],[1]:[11]])-COUNTBLANK(Table2511[[#This Row],[1]:[11]])-1)))</f>
        <v/>
      </c>
    </row>
    <row r="61" spans="1:33" ht="162" customHeight="1" x14ac:dyDescent="0.2">
      <c r="A61" s="117" t="s">
        <v>423</v>
      </c>
      <c r="B61" s="206" t="s">
        <v>424</v>
      </c>
      <c r="C61" s="209" t="s">
        <v>425</v>
      </c>
      <c r="D61" s="22" t="s">
        <v>106</v>
      </c>
      <c r="E61" s="23" cm="1">
        <f t="array" ref="E61">_xlfn.IFS(D61="","",D61="No interest",0,D61="Nice to have",1,D61="Useful",2,D61="Important",3,D61="Very important",4,D61="Critical",5,D61="Show stopper",6)</f>
        <v>5</v>
      </c>
      <c r="F61" s="24">
        <f t="shared" si="3"/>
        <v>1.7482517482517484E-2</v>
      </c>
      <c r="G61" s="210" t="s">
        <v>426</v>
      </c>
      <c r="H61" s="25" t="str" cm="1">
        <f t="array" ref="H61">_xlfn.TEXTJOIN(" "&amp;CHAR(10),,TEXT(SUBSTITUTE(Table2511[[#This Row],[12]:[22]],".",","),"0,00%"))</f>
        <v>0,0174825174825175 
0,00%</v>
      </c>
      <c r="I61" s="26" t="s">
        <v>427</v>
      </c>
      <c r="J61" s="27">
        <f>F61-(F61*((MATCH(Table2511[[#This Row],[Evaluators Response (SELECT)]],Table2511[[#This Row],[1]:[11]],0)-1)/(COUNTA(Table2511[[#This Row],[1]:[11]])-COUNTBLANK(Table2511[[#This Row],[1]:[11]])-1)))</f>
        <v>0</v>
      </c>
      <c r="K61" s="28"/>
      <c r="L61" s="41" t="str" cm="1">
        <f t="array" ref="L61">IFERROR(INDEX(_xlfn.UNIQUE(TRIM(_xlfn.TEXTSPLIT(Table2511[[#This Row],[Selection Option]:[Selection Option]],";"))),,L$12),"")</f>
        <v>(100%) Fully comply with requirement - The proposed solution does mask PII on nonproduction environments</v>
      </c>
      <c r="M61" s="41" t="str" cm="1">
        <f t="array" ref="M61">IFERROR(INDEX(_xlfn.UNIQUE(TRIM(_xlfn.TEXTSPLIT(Table2511[[#This Row],[Selection Option]:[Selection Option]],";"))),,M$12),"")</f>
        <v xml:space="preserve">
(0%) No compliance - The proposed solution does not mask PII on nonproduction environments.</v>
      </c>
      <c r="N61" s="41" t="str" cm="1">
        <f t="array" ref="N61">IFERROR(INDEX(_xlfn.UNIQUE(TRIM(_xlfn.TEXTSPLIT(Table2511[[#This Row],[Selection Option]:[Selection Option]],";"))),,N$12),"")</f>
        <v/>
      </c>
      <c r="O61" s="41" t="str" cm="1">
        <f t="array" ref="O61">IFERROR(INDEX(_xlfn.UNIQUE(TRIM(_xlfn.TEXTSPLIT(Table2511[[#This Row],[Selection Option]:[Selection Option]],";"))),,O$12),"")</f>
        <v/>
      </c>
      <c r="P61" s="41" t="str" cm="1">
        <f t="array" ref="P61">IFERROR(INDEX(_xlfn.UNIQUE(TRIM(_xlfn.TEXTSPLIT(Table2511[[#This Row],[Selection Option]:[Selection Option]],";"))),,P$12),"")</f>
        <v/>
      </c>
      <c r="Q61" s="41" t="str" cm="1">
        <f t="array" ref="Q61">IFERROR(INDEX(_xlfn.UNIQUE(TRIM(_xlfn.TEXTSPLIT(Table2511[[#This Row],[Selection Option]:[Selection Option]],";"))),,Q$12),"")</f>
        <v/>
      </c>
      <c r="R61" s="41" t="str" cm="1">
        <f t="array" ref="R61">IFERROR(INDEX(_xlfn.UNIQUE(TRIM(_xlfn.TEXTSPLIT(Table2511[[#This Row],[Selection Option]:[Selection Option]],";"))),,R$12),"")</f>
        <v/>
      </c>
      <c r="S61" s="41" t="str" cm="1">
        <f t="array" ref="S61">IFERROR(INDEX(_xlfn.UNIQUE(TRIM(_xlfn.TEXTSPLIT(Table2511[[#This Row],[Selection Option]:[Selection Option]],";"))),,S$12),"")</f>
        <v/>
      </c>
      <c r="T61" s="41" t="str" cm="1">
        <f t="array" ref="T61">IFERROR(INDEX(_xlfn.UNIQUE(TRIM(_xlfn.TEXTSPLIT(Table2511[[#This Row],[Selection Option]:[Selection Option]],";"))),,T$12),"")</f>
        <v/>
      </c>
      <c r="U61" s="41" t="str" cm="1">
        <f t="array" ref="U61">IFERROR(INDEX(_xlfn.UNIQUE(TRIM(_xlfn.TEXTSPLIT(Table2511[[#This Row],[Selection Option]:[Selection Option]],";"))),,U$12),"")</f>
        <v/>
      </c>
      <c r="V61" s="41" t="str" cm="1">
        <f t="array" ref="V61">IFERROR(INDEX(_xlfn.UNIQUE(TRIM(_xlfn.TEXTSPLIT(Table2511[[#This Row],[Selection Option]:[Selection Option]],";"))),,V$12),"")</f>
        <v/>
      </c>
      <c r="W61" s="30" cm="1">
        <f t="array" ref="W61">IF(Table2511[[#This Row],[1]]="","",Table2511[[#This Row],[Weight]:[Weight]]-(Table2511[[#This Row],[Weight]:[Weight]]*((_xlfn.XMATCH(Table2511[[#This Row],[1]],Table2511[[#This Row],[1]:[11]],0))-1)/(COUNTA(Table2511[[#This Row],[1]:[11]])-COUNTBLANK(Table2511[[#This Row],[1]:[11]])-1)))</f>
        <v>1.7482517482517484E-2</v>
      </c>
      <c r="X61" s="30" cm="1">
        <f t="array" ref="X61">IF(Table2511[[#This Row],[2]]="","",Table2511[[#This Row],[Weight]:[Weight]]-(Table2511[[#This Row],[Weight]:[Weight]]*((_xlfn.XMATCH(Table2511[[#This Row],[2]],Table2511[[#This Row],[1]:[11]],0))-1)/(COUNTA(Table2511[[#This Row],[1]:[11]])-COUNTBLANK(Table2511[[#This Row],[1]:[11]])-1)))</f>
        <v>0</v>
      </c>
      <c r="Y61" s="30" t="str" cm="1">
        <f t="array" ref="Y61">IF(Table2511[[#This Row],[3]]="","",Table2511[[#This Row],[Weight]:[Weight]]-(Table2511[[#This Row],[Weight]:[Weight]]*((_xlfn.XMATCH(Table2511[[#This Row],[3]],Table2511[[#This Row],[1]:[11]],0))-1)/(COUNTA(Table2511[[#This Row],[1]:[11]])-COUNTBLANK(Table2511[[#This Row],[1]:[11]])-1)))</f>
        <v/>
      </c>
      <c r="Z61" s="30" t="str" cm="1">
        <f t="array" ref="Z61">IF(Table2511[[#This Row],[4]]="","",Table2511[[#This Row],[Weight]:[Weight]]-(Table2511[[#This Row],[Weight]:[Weight]]*((_xlfn.XMATCH(Table2511[[#This Row],[4]],Table2511[[#This Row],[1]:[11]],0))-1)/(COUNTA(Table2511[[#This Row],[1]:[11]])-COUNTBLANK(Table2511[[#This Row],[1]:[11]])-1)))</f>
        <v/>
      </c>
      <c r="AA61" s="30" t="str" cm="1">
        <f t="array" ref="AA61">IF(Table2511[[#This Row],[5]]="","",Table2511[[#This Row],[Weight]:[Weight]]-(Table2511[[#This Row],[Weight]:[Weight]]*((_xlfn.XMATCH(Table2511[[#This Row],[5]],Table2511[[#This Row],[1]:[11]],0))-1)/(COUNTA(Table2511[[#This Row],[1]:[11]])-COUNTBLANK(Table2511[[#This Row],[1]:[11]])-1)))</f>
        <v/>
      </c>
      <c r="AB61" s="30" t="str" cm="1">
        <f t="array" ref="AB61">IF(Table2511[[#This Row],[6]]="","",Table2511[[#This Row],[Weight]:[Weight]]-(Table2511[[#This Row],[Weight]:[Weight]]*((_xlfn.XMATCH(Table2511[[#This Row],[6]],Table2511[[#This Row],[1]:[11]],0))-1)/(COUNTA(Table2511[[#This Row],[1]:[11]])-COUNTBLANK(Table2511[[#This Row],[1]:[11]])-1)))</f>
        <v/>
      </c>
      <c r="AC61" s="30" t="str" cm="1">
        <f t="array" ref="AC61">IF(Table2511[[#This Row],[7]]="","",Table2511[[#This Row],[Weight]:[Weight]]-(Table2511[[#This Row],[Weight]:[Weight]]*((_xlfn.XMATCH(Table2511[[#This Row],[7]],Table2511[[#This Row],[1]:[11]],0))-1)/(COUNTA(Table2511[[#This Row],[1]:[11]])-COUNTBLANK(Table2511[[#This Row],[1]:[11]])-1)))</f>
        <v/>
      </c>
      <c r="AD61" s="30" t="str" cm="1">
        <f t="array" ref="AD61">IF(Table2511[[#This Row],[8]]="","",Table2511[[#This Row],[Weight]:[Weight]]-(Table2511[[#This Row],[Weight]:[Weight]]*((_xlfn.XMATCH(Table2511[[#This Row],[8]],Table2511[[#This Row],[1]:[11]],0))-1)/(COUNTA(Table2511[[#This Row],[1]:[11]])-COUNTBLANK(Table2511[[#This Row],[1]:[11]])-1)))</f>
        <v/>
      </c>
      <c r="AE61" s="41" t="str" cm="1">
        <f t="array" ref="AE61">IF(Table2511[[#This Row],[9]]="","",Table2511[[#This Row],[Weight]:[Weight]]-(Table2511[[#This Row],[Weight]:[Weight]]*((_xlfn.XMATCH(Table2511[[#This Row],[9]],Table2511[[#This Row],[1]:[11]],0))-1)/(COUNTA(Table2511[[#This Row],[1]:[11]])-COUNTBLANK(Table2511[[#This Row],[1]:[11]])-1)))</f>
        <v/>
      </c>
      <c r="AF61" s="41" t="str" cm="1">
        <f t="array" ref="AF61">IF(Table2511[[#This Row],[10]]="","",Table2511[[#This Row],[Weight]:[Weight]]-(Table2511[[#This Row],[Weight]:[Weight]]*((_xlfn.XMATCH(Table2511[[#This Row],[10]],Table2511[[#This Row],[1]:[11]],0))-1)/(COUNTA(Table2511[[#This Row],[1]:[11]])-COUNTBLANK(Table2511[[#This Row],[1]:[11]])-1)))</f>
        <v/>
      </c>
      <c r="AG61" s="41" t="str" cm="1">
        <f t="array" ref="AG61">IF(Table2511[[#This Row],[11]]="","",Table2511[[#This Row],[Weight]:[Weight]]-(Table2511[[#This Row],[Weight]:[Weight]]*((_xlfn.XMATCH(Table2511[[#This Row],[11]],Table2511[[#This Row],[1]:[11]],0))-1)/(COUNTA(Table2511[[#This Row],[1]:[11]])-COUNTBLANK(Table2511[[#This Row],[1]:[11]])-1)))</f>
        <v/>
      </c>
    </row>
    <row r="62" spans="1:33" ht="108" x14ac:dyDescent="0.2">
      <c r="A62" s="117" t="s">
        <v>428</v>
      </c>
      <c r="B62" s="206" t="s">
        <v>429</v>
      </c>
      <c r="C62" s="209" t="s">
        <v>430</v>
      </c>
      <c r="D62" s="22" t="s">
        <v>106</v>
      </c>
      <c r="E62" s="23" cm="1">
        <f t="array" ref="E62">_xlfn.IFS(D62="","",D62="No interest",0,D62="Nice to have",1,D62="Useful",2,D62="Important",3,D62="Very important",4,D62="Critical",5,D62="Show stopper",6)</f>
        <v>5</v>
      </c>
      <c r="F62" s="24">
        <f t="shared" si="3"/>
        <v>1.7482517482517484E-2</v>
      </c>
      <c r="G62" s="210" t="s">
        <v>380</v>
      </c>
      <c r="H62" s="25" t="str" cm="1">
        <f t="array" ref="H62">_xlfn.TEXTJOIN(" "&amp;CHAR(10),,TEXT(SUBSTITUTE(Table2511[[#This Row],[12]:[22]],".",","),"0,00%"))</f>
        <v>0,0174825174825175 
0,00%</v>
      </c>
      <c r="I62" s="26" t="s">
        <v>431</v>
      </c>
      <c r="J62" s="27">
        <f>F62-(F62*((MATCH(Table2511[[#This Row],[Evaluators Response (SELECT)]],Table2511[[#This Row],[1]:[11]],0)-1)/(COUNTA(Table2511[[#This Row],[1]:[11]])-COUNTBLANK(Table2511[[#This Row],[1]:[11]])-1)))</f>
        <v>0</v>
      </c>
      <c r="K62" s="28"/>
      <c r="L62" s="41" t="str" cm="1">
        <f t="array" ref="L62">IFERROR(INDEX(_xlfn.UNIQUE(TRIM(_xlfn.TEXTSPLIT(Table2511[[#This Row],[Selection Option]:[Selection Option]],";"))),,L$12),"")</f>
        <v>(100%) Fully comply with requirement - The proposed solution does have DDoS protection mechanism</v>
      </c>
      <c r="M62" s="41" t="str" cm="1">
        <f t="array" ref="M62">IFERROR(INDEX(_xlfn.UNIQUE(TRIM(_xlfn.TEXTSPLIT(Table2511[[#This Row],[Selection Option]:[Selection Option]],";"))),,M$12),"")</f>
        <v xml:space="preserve">
(0%) No compliance - The proposed solution does not have DDoS protection mechanism.</v>
      </c>
      <c r="N62" s="41" t="str" cm="1">
        <f t="array" ref="N62">IFERROR(INDEX(_xlfn.UNIQUE(TRIM(_xlfn.TEXTSPLIT(Table2511[[#This Row],[Selection Option]:[Selection Option]],";"))),,N$12),"")</f>
        <v/>
      </c>
      <c r="O62" s="41" t="str" cm="1">
        <f t="array" ref="O62">IFERROR(INDEX(_xlfn.UNIQUE(TRIM(_xlfn.TEXTSPLIT(Table2511[[#This Row],[Selection Option]:[Selection Option]],";"))),,O$12),"")</f>
        <v/>
      </c>
      <c r="P62" s="41" t="str" cm="1">
        <f t="array" ref="P62">IFERROR(INDEX(_xlfn.UNIQUE(TRIM(_xlfn.TEXTSPLIT(Table2511[[#This Row],[Selection Option]:[Selection Option]],";"))),,P$12),"")</f>
        <v/>
      </c>
      <c r="Q62" s="41" t="str" cm="1">
        <f t="array" ref="Q62">IFERROR(INDEX(_xlfn.UNIQUE(TRIM(_xlfn.TEXTSPLIT(Table2511[[#This Row],[Selection Option]:[Selection Option]],";"))),,Q$12),"")</f>
        <v/>
      </c>
      <c r="R62" s="41" t="str" cm="1">
        <f t="array" ref="R62">IFERROR(INDEX(_xlfn.UNIQUE(TRIM(_xlfn.TEXTSPLIT(Table2511[[#This Row],[Selection Option]:[Selection Option]],";"))),,R$12),"")</f>
        <v/>
      </c>
      <c r="S62" s="41" t="str" cm="1">
        <f t="array" ref="S62">IFERROR(INDEX(_xlfn.UNIQUE(TRIM(_xlfn.TEXTSPLIT(Table2511[[#This Row],[Selection Option]:[Selection Option]],";"))),,S$12),"")</f>
        <v/>
      </c>
      <c r="T62" s="41" t="str" cm="1">
        <f t="array" ref="T62">IFERROR(INDEX(_xlfn.UNIQUE(TRIM(_xlfn.TEXTSPLIT(Table2511[[#This Row],[Selection Option]:[Selection Option]],";"))),,T$12),"")</f>
        <v/>
      </c>
      <c r="U62" s="41" t="str" cm="1">
        <f t="array" ref="U62">IFERROR(INDEX(_xlfn.UNIQUE(TRIM(_xlfn.TEXTSPLIT(Table2511[[#This Row],[Selection Option]:[Selection Option]],";"))),,U$12),"")</f>
        <v/>
      </c>
      <c r="V62" s="41" t="str" cm="1">
        <f t="array" ref="V62">IFERROR(INDEX(_xlfn.UNIQUE(TRIM(_xlfn.TEXTSPLIT(Table2511[[#This Row],[Selection Option]:[Selection Option]],";"))),,V$12),"")</f>
        <v/>
      </c>
      <c r="W62" s="30" cm="1">
        <f t="array" ref="W62">IF(Table2511[[#This Row],[1]]="","",Table2511[[#This Row],[Weight]:[Weight]]-(Table2511[[#This Row],[Weight]:[Weight]]*((_xlfn.XMATCH(Table2511[[#This Row],[1]],Table2511[[#This Row],[1]:[11]],0))-1)/(COUNTA(Table2511[[#This Row],[1]:[11]])-COUNTBLANK(Table2511[[#This Row],[1]:[11]])-1)))</f>
        <v>1.7482517482517484E-2</v>
      </c>
      <c r="X62" s="30" cm="1">
        <f t="array" ref="X62">IF(Table2511[[#This Row],[2]]="","",Table2511[[#This Row],[Weight]:[Weight]]-(Table2511[[#This Row],[Weight]:[Weight]]*((_xlfn.XMATCH(Table2511[[#This Row],[2]],Table2511[[#This Row],[1]:[11]],0))-1)/(COUNTA(Table2511[[#This Row],[1]:[11]])-COUNTBLANK(Table2511[[#This Row],[1]:[11]])-1)))</f>
        <v>0</v>
      </c>
      <c r="Y62" s="30" t="str" cm="1">
        <f t="array" ref="Y62">IF(Table2511[[#This Row],[3]]="","",Table2511[[#This Row],[Weight]:[Weight]]-(Table2511[[#This Row],[Weight]:[Weight]]*((_xlfn.XMATCH(Table2511[[#This Row],[3]],Table2511[[#This Row],[1]:[11]],0))-1)/(COUNTA(Table2511[[#This Row],[1]:[11]])-COUNTBLANK(Table2511[[#This Row],[1]:[11]])-1)))</f>
        <v/>
      </c>
      <c r="Z62" s="30" t="str" cm="1">
        <f t="array" ref="Z62">IF(Table2511[[#This Row],[4]]="","",Table2511[[#This Row],[Weight]:[Weight]]-(Table2511[[#This Row],[Weight]:[Weight]]*((_xlfn.XMATCH(Table2511[[#This Row],[4]],Table2511[[#This Row],[1]:[11]],0))-1)/(COUNTA(Table2511[[#This Row],[1]:[11]])-COUNTBLANK(Table2511[[#This Row],[1]:[11]])-1)))</f>
        <v/>
      </c>
      <c r="AA62" s="30" t="str" cm="1">
        <f t="array" ref="AA62">IF(Table2511[[#This Row],[5]]="","",Table2511[[#This Row],[Weight]:[Weight]]-(Table2511[[#This Row],[Weight]:[Weight]]*((_xlfn.XMATCH(Table2511[[#This Row],[5]],Table2511[[#This Row],[1]:[11]],0))-1)/(COUNTA(Table2511[[#This Row],[1]:[11]])-COUNTBLANK(Table2511[[#This Row],[1]:[11]])-1)))</f>
        <v/>
      </c>
      <c r="AB62" s="30" t="str" cm="1">
        <f t="array" ref="AB62">IF(Table2511[[#This Row],[6]]="","",Table2511[[#This Row],[Weight]:[Weight]]-(Table2511[[#This Row],[Weight]:[Weight]]*((_xlfn.XMATCH(Table2511[[#This Row],[6]],Table2511[[#This Row],[1]:[11]],0))-1)/(COUNTA(Table2511[[#This Row],[1]:[11]])-COUNTBLANK(Table2511[[#This Row],[1]:[11]])-1)))</f>
        <v/>
      </c>
      <c r="AC62" s="30" t="str" cm="1">
        <f t="array" ref="AC62">IF(Table2511[[#This Row],[7]]="","",Table2511[[#This Row],[Weight]:[Weight]]-(Table2511[[#This Row],[Weight]:[Weight]]*((_xlfn.XMATCH(Table2511[[#This Row],[7]],Table2511[[#This Row],[1]:[11]],0))-1)/(COUNTA(Table2511[[#This Row],[1]:[11]])-COUNTBLANK(Table2511[[#This Row],[1]:[11]])-1)))</f>
        <v/>
      </c>
      <c r="AD62" s="30" t="str" cm="1">
        <f t="array" ref="AD62">IF(Table2511[[#This Row],[8]]="","",Table2511[[#This Row],[Weight]:[Weight]]-(Table2511[[#This Row],[Weight]:[Weight]]*((_xlfn.XMATCH(Table2511[[#This Row],[8]],Table2511[[#This Row],[1]:[11]],0))-1)/(COUNTA(Table2511[[#This Row],[1]:[11]])-COUNTBLANK(Table2511[[#This Row],[1]:[11]])-1)))</f>
        <v/>
      </c>
      <c r="AE62" s="41" t="str" cm="1">
        <f t="array" ref="AE62">IF(Table2511[[#This Row],[9]]="","",Table2511[[#This Row],[Weight]:[Weight]]-(Table2511[[#This Row],[Weight]:[Weight]]*((_xlfn.XMATCH(Table2511[[#This Row],[9]],Table2511[[#This Row],[1]:[11]],0))-1)/(COUNTA(Table2511[[#This Row],[1]:[11]])-COUNTBLANK(Table2511[[#This Row],[1]:[11]])-1)))</f>
        <v/>
      </c>
      <c r="AF62" s="41" t="str" cm="1">
        <f t="array" ref="AF62">IF(Table2511[[#This Row],[10]]="","",Table2511[[#This Row],[Weight]:[Weight]]-(Table2511[[#This Row],[Weight]:[Weight]]*((_xlfn.XMATCH(Table2511[[#This Row],[10]],Table2511[[#This Row],[1]:[11]],0))-1)/(COUNTA(Table2511[[#This Row],[1]:[11]])-COUNTBLANK(Table2511[[#This Row],[1]:[11]])-1)))</f>
        <v/>
      </c>
      <c r="AG62" s="41" t="str" cm="1">
        <f t="array" ref="AG62">IF(Table2511[[#This Row],[11]]="","",Table2511[[#This Row],[Weight]:[Weight]]-(Table2511[[#This Row],[Weight]:[Weight]]*((_xlfn.XMATCH(Table2511[[#This Row],[11]],Table2511[[#This Row],[1]:[11]],0))-1)/(COUNTA(Table2511[[#This Row],[1]:[11]])-COUNTBLANK(Table2511[[#This Row],[1]:[11]])-1)))</f>
        <v/>
      </c>
    </row>
    <row r="63" spans="1:33" ht="108" x14ac:dyDescent="0.2">
      <c r="A63" s="117" t="s">
        <v>432</v>
      </c>
      <c r="B63" s="206" t="s">
        <v>433</v>
      </c>
      <c r="C63" s="207" t="s">
        <v>434</v>
      </c>
      <c r="D63" s="22" t="s">
        <v>106</v>
      </c>
      <c r="E63" s="23" cm="1">
        <f t="array" ref="E63">_xlfn.IFS(D63="","",D63="No interest",0,D63="Nice to have",1,D63="Useful",2,D63="Important",3,D63="Very important",4,D63="Critical",5,D63="Show stopper",6)</f>
        <v>5</v>
      </c>
      <c r="F63" s="24">
        <f t="shared" si="3"/>
        <v>1.7482517482517484E-2</v>
      </c>
      <c r="G63" s="210" t="s">
        <v>395</v>
      </c>
      <c r="H63" s="25" t="str" cm="1">
        <f t="array" ref="H63">_xlfn.TEXTJOIN(" "&amp;CHAR(10),,TEXT(SUBSTITUTE(Table2511[[#This Row],[12]:[22]],".",","),"0,00%"))</f>
        <v>0,0174825174825175 
0,00%</v>
      </c>
      <c r="I63" s="26" t="s">
        <v>435</v>
      </c>
      <c r="J63" s="27">
        <f>F63-(F63*((MATCH(Table2511[[#This Row],[Evaluators Response (SELECT)]],Table2511[[#This Row],[1]:[11]],0)-1)/(COUNTA(Table2511[[#This Row],[1]:[11]])-COUNTBLANK(Table2511[[#This Row],[1]:[11]])-1)))</f>
        <v>0</v>
      </c>
      <c r="K63" s="28"/>
      <c r="L63" s="41" t="str" cm="1">
        <f t="array" ref="L63">IFERROR(INDEX(_xlfn.UNIQUE(TRIM(_xlfn.TEXTSPLIT(Table2511[[#This Row],[Selection Option]:[Selection Option]],";"))),,L$12),"")</f>
        <v>(100%) Fully comply with requirement - The proposed solution does have e-Discovery capability</v>
      </c>
      <c r="M63" s="41" t="str" cm="1">
        <f t="array" ref="M63">IFERROR(INDEX(_xlfn.UNIQUE(TRIM(_xlfn.TEXTSPLIT(Table2511[[#This Row],[Selection Option]:[Selection Option]],";"))),,M$12),"")</f>
        <v xml:space="preserve">
(0%) No compliance - The proposed solution does not have e-Discovery capability.</v>
      </c>
      <c r="N63" s="41" t="str" cm="1">
        <f t="array" ref="N63">IFERROR(INDEX(_xlfn.UNIQUE(TRIM(_xlfn.TEXTSPLIT(Table2511[[#This Row],[Selection Option]:[Selection Option]],";"))),,N$12),"")</f>
        <v/>
      </c>
      <c r="O63" s="41" t="str" cm="1">
        <f t="array" ref="O63">IFERROR(INDEX(_xlfn.UNIQUE(TRIM(_xlfn.TEXTSPLIT(Table2511[[#This Row],[Selection Option]:[Selection Option]],";"))),,O$12),"")</f>
        <v/>
      </c>
      <c r="P63" s="41" t="str" cm="1">
        <f t="array" ref="P63">IFERROR(INDEX(_xlfn.UNIQUE(TRIM(_xlfn.TEXTSPLIT(Table2511[[#This Row],[Selection Option]:[Selection Option]],";"))),,P$12),"")</f>
        <v/>
      </c>
      <c r="Q63" s="41" t="str" cm="1">
        <f t="array" ref="Q63">IFERROR(INDEX(_xlfn.UNIQUE(TRIM(_xlfn.TEXTSPLIT(Table2511[[#This Row],[Selection Option]:[Selection Option]],";"))),,Q$12),"")</f>
        <v/>
      </c>
      <c r="R63" s="41" t="str" cm="1">
        <f t="array" ref="R63">IFERROR(INDEX(_xlfn.UNIQUE(TRIM(_xlfn.TEXTSPLIT(Table2511[[#This Row],[Selection Option]:[Selection Option]],";"))),,R$12),"")</f>
        <v/>
      </c>
      <c r="S63" s="41" t="str" cm="1">
        <f t="array" ref="S63">IFERROR(INDEX(_xlfn.UNIQUE(TRIM(_xlfn.TEXTSPLIT(Table2511[[#This Row],[Selection Option]:[Selection Option]],";"))),,S$12),"")</f>
        <v/>
      </c>
      <c r="T63" s="41" t="str" cm="1">
        <f t="array" ref="T63">IFERROR(INDEX(_xlfn.UNIQUE(TRIM(_xlfn.TEXTSPLIT(Table2511[[#This Row],[Selection Option]:[Selection Option]],";"))),,T$12),"")</f>
        <v/>
      </c>
      <c r="U63" s="41" t="str" cm="1">
        <f t="array" ref="U63">IFERROR(INDEX(_xlfn.UNIQUE(TRIM(_xlfn.TEXTSPLIT(Table2511[[#This Row],[Selection Option]:[Selection Option]],";"))),,U$12),"")</f>
        <v/>
      </c>
      <c r="V63" s="41" t="str" cm="1">
        <f t="array" ref="V63">IFERROR(INDEX(_xlfn.UNIQUE(TRIM(_xlfn.TEXTSPLIT(Table2511[[#This Row],[Selection Option]:[Selection Option]],";"))),,V$12),"")</f>
        <v/>
      </c>
      <c r="W63" s="30" cm="1">
        <f t="array" ref="W63">IF(Table2511[[#This Row],[1]]="","",Table2511[[#This Row],[Weight]:[Weight]]-(Table2511[[#This Row],[Weight]:[Weight]]*((_xlfn.XMATCH(Table2511[[#This Row],[1]],Table2511[[#This Row],[1]:[11]],0))-1)/(COUNTA(Table2511[[#This Row],[1]:[11]])-COUNTBLANK(Table2511[[#This Row],[1]:[11]])-1)))</f>
        <v>1.7482517482517484E-2</v>
      </c>
      <c r="X63" s="30" cm="1">
        <f t="array" ref="X63">IF(Table2511[[#This Row],[2]]="","",Table2511[[#This Row],[Weight]:[Weight]]-(Table2511[[#This Row],[Weight]:[Weight]]*((_xlfn.XMATCH(Table2511[[#This Row],[2]],Table2511[[#This Row],[1]:[11]],0))-1)/(COUNTA(Table2511[[#This Row],[1]:[11]])-COUNTBLANK(Table2511[[#This Row],[1]:[11]])-1)))</f>
        <v>0</v>
      </c>
      <c r="Y63" s="30" t="str" cm="1">
        <f t="array" ref="Y63">IF(Table2511[[#This Row],[3]]="","",Table2511[[#This Row],[Weight]:[Weight]]-(Table2511[[#This Row],[Weight]:[Weight]]*((_xlfn.XMATCH(Table2511[[#This Row],[3]],Table2511[[#This Row],[1]:[11]],0))-1)/(COUNTA(Table2511[[#This Row],[1]:[11]])-COUNTBLANK(Table2511[[#This Row],[1]:[11]])-1)))</f>
        <v/>
      </c>
      <c r="Z63" s="30" t="str" cm="1">
        <f t="array" ref="Z63">IF(Table2511[[#This Row],[4]]="","",Table2511[[#This Row],[Weight]:[Weight]]-(Table2511[[#This Row],[Weight]:[Weight]]*((_xlfn.XMATCH(Table2511[[#This Row],[4]],Table2511[[#This Row],[1]:[11]],0))-1)/(COUNTA(Table2511[[#This Row],[1]:[11]])-COUNTBLANK(Table2511[[#This Row],[1]:[11]])-1)))</f>
        <v/>
      </c>
      <c r="AA63" s="30" t="str" cm="1">
        <f t="array" ref="AA63">IF(Table2511[[#This Row],[5]]="","",Table2511[[#This Row],[Weight]:[Weight]]-(Table2511[[#This Row],[Weight]:[Weight]]*((_xlfn.XMATCH(Table2511[[#This Row],[5]],Table2511[[#This Row],[1]:[11]],0))-1)/(COUNTA(Table2511[[#This Row],[1]:[11]])-COUNTBLANK(Table2511[[#This Row],[1]:[11]])-1)))</f>
        <v/>
      </c>
      <c r="AB63" s="30" t="str" cm="1">
        <f t="array" ref="AB63">IF(Table2511[[#This Row],[6]]="","",Table2511[[#This Row],[Weight]:[Weight]]-(Table2511[[#This Row],[Weight]:[Weight]]*((_xlfn.XMATCH(Table2511[[#This Row],[6]],Table2511[[#This Row],[1]:[11]],0))-1)/(COUNTA(Table2511[[#This Row],[1]:[11]])-COUNTBLANK(Table2511[[#This Row],[1]:[11]])-1)))</f>
        <v/>
      </c>
      <c r="AC63" s="30" t="str" cm="1">
        <f t="array" ref="AC63">IF(Table2511[[#This Row],[7]]="","",Table2511[[#This Row],[Weight]:[Weight]]-(Table2511[[#This Row],[Weight]:[Weight]]*((_xlfn.XMATCH(Table2511[[#This Row],[7]],Table2511[[#This Row],[1]:[11]],0))-1)/(COUNTA(Table2511[[#This Row],[1]:[11]])-COUNTBLANK(Table2511[[#This Row],[1]:[11]])-1)))</f>
        <v/>
      </c>
      <c r="AD63" s="30" t="str" cm="1">
        <f t="array" ref="AD63">IF(Table2511[[#This Row],[8]]="","",Table2511[[#This Row],[Weight]:[Weight]]-(Table2511[[#This Row],[Weight]:[Weight]]*((_xlfn.XMATCH(Table2511[[#This Row],[8]],Table2511[[#This Row],[1]:[11]],0))-1)/(COUNTA(Table2511[[#This Row],[1]:[11]])-COUNTBLANK(Table2511[[#This Row],[1]:[11]])-1)))</f>
        <v/>
      </c>
      <c r="AE63" s="41" t="str" cm="1">
        <f t="array" ref="AE63">IF(Table2511[[#This Row],[9]]="","",Table2511[[#This Row],[Weight]:[Weight]]-(Table2511[[#This Row],[Weight]:[Weight]]*((_xlfn.XMATCH(Table2511[[#This Row],[9]],Table2511[[#This Row],[1]:[11]],0))-1)/(COUNTA(Table2511[[#This Row],[1]:[11]])-COUNTBLANK(Table2511[[#This Row],[1]:[11]])-1)))</f>
        <v/>
      </c>
      <c r="AF63" s="41" t="str" cm="1">
        <f t="array" ref="AF63">IF(Table2511[[#This Row],[10]]="","",Table2511[[#This Row],[Weight]:[Weight]]-(Table2511[[#This Row],[Weight]:[Weight]]*((_xlfn.XMATCH(Table2511[[#This Row],[10]],Table2511[[#This Row],[1]:[11]],0))-1)/(COUNTA(Table2511[[#This Row],[1]:[11]])-COUNTBLANK(Table2511[[#This Row],[1]:[11]])-1)))</f>
        <v/>
      </c>
      <c r="AG63" s="41" t="str" cm="1">
        <f t="array" ref="AG63">IF(Table2511[[#This Row],[11]]="","",Table2511[[#This Row],[Weight]:[Weight]]-(Table2511[[#This Row],[Weight]:[Weight]]*((_xlfn.XMATCH(Table2511[[#This Row],[11]],Table2511[[#This Row],[1]:[11]],0))-1)/(COUNTA(Table2511[[#This Row],[1]:[11]])-COUNTBLANK(Table2511[[#This Row],[1]:[11]])-1)))</f>
        <v/>
      </c>
    </row>
    <row r="64" spans="1:33" ht="156" x14ac:dyDescent="0.2">
      <c r="A64" s="117" t="s">
        <v>436</v>
      </c>
      <c r="B64" s="207" t="s">
        <v>437</v>
      </c>
      <c r="C64" s="209" t="s">
        <v>438</v>
      </c>
      <c r="D64" s="22" t="s">
        <v>248</v>
      </c>
      <c r="E64" s="23" cm="1">
        <f t="array" ref="E64">_xlfn.IFS(D64="","",D64="No interest",0,D64="Nice to have",1,D64="Useful",2,D64="Important",3,D64="Very important",4,D64="Critical",5,D64="Show stopper",6)</f>
        <v>4</v>
      </c>
      <c r="F64" s="24">
        <f t="shared" ref="F64" si="4">(E64/$E$12)*$D$12</f>
        <v>1.3986013986013986E-2</v>
      </c>
      <c r="G64" s="210" t="s">
        <v>439</v>
      </c>
      <c r="H64" s="25" t="str" cm="1">
        <f t="array" ref="H64">_xlfn.TEXTJOIN(" "&amp;CHAR(10),,TEXT(SUBSTITUTE(Table2511[[#This Row],[12]:[22]],".",","),"0,00%"))</f>
        <v>0,013986013986014 
0,00%</v>
      </c>
      <c r="I64" s="26" t="s">
        <v>440</v>
      </c>
      <c r="J64" s="27">
        <f>F64-(F64*((MATCH(Table2511[[#This Row],[Evaluators Response (SELECT)]],Table2511[[#This Row],[1]:[11]],0)-1)/(COUNTA(Table2511[[#This Row],[1]:[11]])-COUNTBLANK(Table2511[[#This Row],[1]:[11]])-1)))</f>
        <v>0</v>
      </c>
      <c r="K64" s="28"/>
      <c r="L64" s="122" t="str" cm="1">
        <f t="array" ref="L64">IFERROR(INDEX(_xlfn.UNIQUE(TRIM(_xlfn.TEXTSPLIT(Table2511[[#This Row],[Selection Option]:[Selection Option]],";"))),,L$12),"")</f>
        <v>(100%)System supports full integration with SIEM via standard protocols (Syslog, Windows Event Log, SNMP, API), and integration has been tested and confirmed</v>
      </c>
      <c r="M64" s="41" t="str" cm="1">
        <f t="array" ref="M64">IFERROR(INDEX(_xlfn.UNIQUE(TRIM(_xlfn.TEXTSPLIT(Table2511[[#This Row],[Selection Option]:[Selection Option]],";"))),,M$12),"")</f>
        <v xml:space="preserve">
(0%) No SIEM integration capability present or enabled - logging is unsupported, disabled, or incompatible with enterprise SIEM tools.</v>
      </c>
      <c r="N64" s="41" t="str" cm="1">
        <f t="array" ref="N64">IFERROR(INDEX(_xlfn.UNIQUE(TRIM(_xlfn.TEXTSPLIT(Table2511[[#This Row],[Selection Option]:[Selection Option]],";"))),,N$12),"")</f>
        <v/>
      </c>
      <c r="O64" s="41" t="str" cm="1">
        <f t="array" ref="O64">IFERROR(INDEX(_xlfn.UNIQUE(TRIM(_xlfn.TEXTSPLIT(Table2511[[#This Row],[Selection Option]:[Selection Option]],";"))),,O$12),"")</f>
        <v/>
      </c>
      <c r="P64" s="41" t="str" cm="1">
        <f t="array" ref="P64">IFERROR(INDEX(_xlfn.UNIQUE(TRIM(_xlfn.TEXTSPLIT(Table2511[[#This Row],[Selection Option]:[Selection Option]],";"))),,P$12),"")</f>
        <v/>
      </c>
      <c r="Q64" s="41" t="str" cm="1">
        <f t="array" ref="Q64">IFERROR(INDEX(_xlfn.UNIQUE(TRIM(_xlfn.TEXTSPLIT(Table2511[[#This Row],[Selection Option]:[Selection Option]],";"))),,Q$12),"")</f>
        <v/>
      </c>
      <c r="R64" s="41" t="str" cm="1">
        <f t="array" ref="R64">IFERROR(INDEX(_xlfn.UNIQUE(TRIM(_xlfn.TEXTSPLIT(Table2511[[#This Row],[Selection Option]:[Selection Option]],";"))),,R$12),"")</f>
        <v/>
      </c>
      <c r="S64" s="41" t="str" cm="1">
        <f t="array" ref="S64">IFERROR(INDEX(_xlfn.UNIQUE(TRIM(_xlfn.TEXTSPLIT(Table2511[[#This Row],[Selection Option]:[Selection Option]],";"))),,S$12),"")</f>
        <v/>
      </c>
      <c r="T64" s="41" t="str" cm="1">
        <f t="array" ref="T64">IFERROR(INDEX(_xlfn.UNIQUE(TRIM(_xlfn.TEXTSPLIT(Table2511[[#This Row],[Selection Option]:[Selection Option]],";"))),,T$12),"")</f>
        <v/>
      </c>
      <c r="U64" s="41" t="str" cm="1">
        <f t="array" ref="U64">IFERROR(INDEX(_xlfn.UNIQUE(TRIM(_xlfn.TEXTSPLIT(Table2511[[#This Row],[Selection Option]:[Selection Option]],";"))),,U$12),"")</f>
        <v/>
      </c>
      <c r="V64" s="41" t="str" cm="1">
        <f t="array" ref="V64">IFERROR(INDEX(_xlfn.UNIQUE(TRIM(_xlfn.TEXTSPLIT(Table2511[[#This Row],[Selection Option]:[Selection Option]],";"))),,V$12),"")</f>
        <v/>
      </c>
      <c r="W64" s="30" cm="1">
        <f t="array" ref="W64">IF(Table2511[[#This Row],[1]]="","",Table2511[[#This Row],[Weight]:[Weight]]-(Table2511[[#This Row],[Weight]:[Weight]]*((_xlfn.XMATCH(Table2511[[#This Row],[1]],Table2511[[#This Row],[1]:[11]],0))-1)/(COUNTA(Table2511[[#This Row],[1]:[11]])-COUNTBLANK(Table2511[[#This Row],[1]:[11]])-1)))</f>
        <v>1.3986013986013986E-2</v>
      </c>
      <c r="X64" s="30" cm="1">
        <f t="array" ref="X64">IF(Table2511[[#This Row],[2]]="","",Table2511[[#This Row],[Weight]:[Weight]]-(Table2511[[#This Row],[Weight]:[Weight]]*((_xlfn.XMATCH(Table2511[[#This Row],[2]],Table2511[[#This Row],[1]:[11]],0))-1)/(COUNTA(Table2511[[#This Row],[1]:[11]])-COUNTBLANK(Table2511[[#This Row],[1]:[11]])-1)))</f>
        <v>0</v>
      </c>
      <c r="Y64" s="30" t="str" cm="1">
        <f t="array" ref="Y64">IF(Table2511[[#This Row],[3]]="","",Table2511[[#This Row],[Weight]:[Weight]]-(Table2511[[#This Row],[Weight]:[Weight]]*((_xlfn.XMATCH(Table2511[[#This Row],[3]],Table2511[[#This Row],[1]:[11]],0))-1)/(COUNTA(Table2511[[#This Row],[1]:[11]])-COUNTBLANK(Table2511[[#This Row],[1]:[11]])-1)))</f>
        <v/>
      </c>
      <c r="Z64" s="30" t="str" cm="1">
        <f t="array" ref="Z64">IF(Table2511[[#This Row],[4]]="","",Table2511[[#This Row],[Weight]:[Weight]]-(Table2511[[#This Row],[Weight]:[Weight]]*((_xlfn.XMATCH(Table2511[[#This Row],[4]],Table2511[[#This Row],[1]:[11]],0))-1)/(COUNTA(Table2511[[#This Row],[1]:[11]])-COUNTBLANK(Table2511[[#This Row],[1]:[11]])-1)))</f>
        <v/>
      </c>
      <c r="AA64" s="30" t="str" cm="1">
        <f t="array" ref="AA64">IF(Table2511[[#This Row],[5]]="","",Table2511[[#This Row],[Weight]:[Weight]]-(Table2511[[#This Row],[Weight]:[Weight]]*((_xlfn.XMATCH(Table2511[[#This Row],[5]],Table2511[[#This Row],[1]:[11]],0))-1)/(COUNTA(Table2511[[#This Row],[1]:[11]])-COUNTBLANK(Table2511[[#This Row],[1]:[11]])-1)))</f>
        <v/>
      </c>
      <c r="AB64" s="30" t="str" cm="1">
        <f t="array" ref="AB64">IF(Table2511[[#This Row],[6]]="","",Table2511[[#This Row],[Weight]:[Weight]]-(Table2511[[#This Row],[Weight]:[Weight]]*((_xlfn.XMATCH(Table2511[[#This Row],[6]],Table2511[[#This Row],[1]:[11]],0))-1)/(COUNTA(Table2511[[#This Row],[1]:[11]])-COUNTBLANK(Table2511[[#This Row],[1]:[11]])-1)))</f>
        <v/>
      </c>
      <c r="AC64" s="30" t="str" cm="1">
        <f t="array" ref="AC64">IF(Table2511[[#This Row],[7]]="","",Table2511[[#This Row],[Weight]:[Weight]]-(Table2511[[#This Row],[Weight]:[Weight]]*((_xlfn.XMATCH(Table2511[[#This Row],[7]],Table2511[[#This Row],[1]:[11]],0))-1)/(COUNTA(Table2511[[#This Row],[1]:[11]])-COUNTBLANK(Table2511[[#This Row],[1]:[11]])-1)))</f>
        <v/>
      </c>
      <c r="AD64" s="30" t="str" cm="1">
        <f t="array" ref="AD64">IF(Table2511[[#This Row],[8]]="","",Table2511[[#This Row],[Weight]:[Weight]]-(Table2511[[#This Row],[Weight]:[Weight]]*((_xlfn.XMATCH(Table2511[[#This Row],[8]],Table2511[[#This Row],[1]:[11]],0))-1)/(COUNTA(Table2511[[#This Row],[1]:[11]])-COUNTBLANK(Table2511[[#This Row],[1]:[11]])-1)))</f>
        <v/>
      </c>
      <c r="AE64" s="30" t="str" cm="1">
        <f t="array" ref="AE64">IF(Table2511[[#This Row],[9]]="","",Table2511[[#This Row],[Weight]:[Weight]]-(Table2511[[#This Row],[Weight]:[Weight]]*((_xlfn.XMATCH(Table2511[[#This Row],[9]],Table2511[[#This Row],[1]:[11]],0))-1)/(COUNTA(Table2511[[#This Row],[1]:[11]])-COUNTBLANK(Table2511[[#This Row],[1]:[11]])-1)))</f>
        <v/>
      </c>
      <c r="AF64" s="30" t="str" cm="1">
        <f t="array" ref="AF64">IF(Table2511[[#This Row],[10]]="","",Table2511[[#This Row],[Weight]:[Weight]]-(Table2511[[#This Row],[Weight]:[Weight]]*((_xlfn.XMATCH(Table2511[[#This Row],[10]],Table2511[[#This Row],[1]:[11]],0))-1)/(COUNTA(Table2511[[#This Row],[1]:[11]])-COUNTBLANK(Table2511[[#This Row],[1]:[11]])-1)))</f>
        <v/>
      </c>
      <c r="AG64" s="30" t="str" cm="1">
        <f t="array" ref="AG64">IF(Table2511[[#This Row],[11]]="","",Table2511[[#This Row],[Weight]:[Weight]]-(Table2511[[#This Row],[Weight]:[Weight]]*((_xlfn.XMATCH(Table2511[[#This Row],[11]],Table2511[[#This Row],[1]:[11]],0))-1)/(COUNTA(Table2511[[#This Row],[1]:[11]])-COUNTBLANK(Table2511[[#This Row],[1]:[11]])-1)))</f>
        <v/>
      </c>
    </row>
  </sheetData>
  <sheetProtection insertRows="0" insertHyperlinks="0" deleteRows="0" autoFilter="0"/>
  <mergeCells count="3">
    <mergeCell ref="A11:A12"/>
    <mergeCell ref="B11:C12"/>
    <mergeCell ref="E2:F3"/>
  </mergeCells>
  <phoneticPr fontId="4" type="noConversion"/>
  <conditionalFormatting sqref="I14:I64">
    <cfRule type="expression" dxfId="3" priority="1">
      <formula>COUNTIF(L14:V14,I14)&lt;&gt;1</formula>
    </cfRule>
  </conditionalFormatting>
  <dataValidations count="4">
    <dataValidation type="list" allowBlank="1" showInputMessage="1" showErrorMessage="1" sqref="K21" xr:uid="{4D82EFB0-36E7-47BC-89F2-C3B5954591B8}">
      <formula1>_xlfn.UNIQUE(TRIM(_xlfn.TEXTSPLIT(#REF!,",")))</formula1>
    </dataValidation>
    <dataValidation type="list" allowBlank="1" showInputMessage="1" showErrorMessage="1" sqref="D14:D64" xr:uid="{94284A65-7B96-4C2E-A66C-A90EAE7715E6}">
      <formula1>"No interest,Nice to have,Useful,Important,Very important,Critical,Show stopper"</formula1>
    </dataValidation>
    <dataValidation type="list" allowBlank="1" showInputMessage="1" showErrorMessage="1" sqref="F14:F64" xr:uid="{A0B70EB4-23FA-4637-BCEA-7CB6BBFCFBD4}">
      <formula1>L14:P14</formula1>
    </dataValidation>
    <dataValidation type="list" allowBlank="1" showInputMessage="1" showErrorMessage="1" sqref="I14:I64" xr:uid="{8357B687-31D4-40FF-8811-2CB5E64DBD92}">
      <formula1>$L14:$V14</formula1>
    </dataValidation>
  </dataValidations>
  <pageMargins left="0.7" right="0.7" top="0.75" bottom="0.75" header="0.3" footer="0.3"/>
  <pageSetup paperSize="9" scale="55" fitToHeight="0" orientation="landscape" r:id="rId1"/>
  <drawing r:id="rId2"/>
  <legacy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33E5-A3FB-4292-8BA1-DDDA2568E2AA}">
  <sheetPr>
    <tabColor theme="1" tint="0.34998626667073579"/>
  </sheetPr>
  <dimension ref="A2:AI14"/>
  <sheetViews>
    <sheetView zoomScale="96" zoomScaleNormal="100" workbookViewId="0">
      <pane xSplit="1" ySplit="11" topLeftCell="D12" activePane="bottomRight" state="frozen"/>
      <selection pane="topRight" activeCell="B1" sqref="B1"/>
      <selection pane="bottomLeft" activeCell="A4" sqref="A4"/>
      <selection pane="bottomRight" activeCell="K14" sqref="K14"/>
    </sheetView>
  </sheetViews>
  <sheetFormatPr defaultColWidth="5.5703125" defaultRowHeight="12" x14ac:dyDescent="0.2"/>
  <cols>
    <col min="1" max="1" width="3" style="6" bestFit="1" customWidth="1"/>
    <col min="2" max="2" width="43.7109375" style="6" customWidth="1"/>
    <col min="3" max="3" width="38.8554687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19.42578125" style="6" bestFit="1" customWidth="1"/>
    <col min="10" max="10" width="8" style="6" customWidth="1"/>
    <col min="11" max="11" width="15.85546875" style="6" customWidth="1"/>
    <col min="12" max="12" width="7.85546875" style="45" bestFit="1" customWidth="1"/>
    <col min="13" max="13" width="19.7109375" style="6" bestFit="1" customWidth="1"/>
    <col min="14" max="14" width="6.5703125" style="46" hidden="1" customWidth="1"/>
    <col min="15" max="24" width="6.42578125" style="46" hidden="1" customWidth="1"/>
    <col min="25" max="25" width="8" style="6" hidden="1" customWidth="1"/>
    <col min="26" max="26" width="5.5703125" style="6" hidden="1" customWidth="1"/>
    <col min="27" max="32" width="6.140625" style="6" hidden="1" customWidth="1"/>
    <col min="33" max="35" width="5.5703125" style="6" hidden="1" customWidth="1"/>
    <col min="36" max="16384" width="5.5703125" style="6"/>
  </cols>
  <sheetData>
    <row r="2" spans="1:35" ht="15" x14ac:dyDescent="0.25">
      <c r="B2" s="90" t="s">
        <v>82</v>
      </c>
      <c r="C2" s="91" t="s">
        <v>83</v>
      </c>
      <c r="E2" s="303" t="s">
        <v>246</v>
      </c>
      <c r="F2" s="304"/>
    </row>
    <row r="3" spans="1:35" ht="15.75" customHeight="1" x14ac:dyDescent="0.25">
      <c r="B3" s="90" t="s">
        <v>84</v>
      </c>
      <c r="C3" s="91" t="s">
        <v>85</v>
      </c>
      <c r="E3" s="305"/>
      <c r="F3" s="306"/>
    </row>
    <row r="4" spans="1:35" ht="15.75" x14ac:dyDescent="0.25">
      <c r="B4" s="90" t="s">
        <v>86</v>
      </c>
      <c r="C4" s="93" t="s">
        <v>87</v>
      </c>
      <c r="D4" s="55"/>
      <c r="E4" s="170" t="s">
        <v>98</v>
      </c>
      <c r="F4" s="176"/>
    </row>
    <row r="5" spans="1:35" ht="15.75" x14ac:dyDescent="0.25">
      <c r="B5" s="90" t="s">
        <v>88</v>
      </c>
      <c r="C5" s="93" t="s">
        <v>87</v>
      </c>
      <c r="D5" s="55"/>
      <c r="E5" s="172"/>
      <c r="F5" s="175"/>
    </row>
    <row r="6" spans="1:35" ht="15.75" x14ac:dyDescent="0.25">
      <c r="B6" s="90" t="s">
        <v>90</v>
      </c>
      <c r="C6" s="93" t="s">
        <v>87</v>
      </c>
      <c r="D6" s="55"/>
      <c r="E6" s="55"/>
    </row>
    <row r="7" spans="1:35" ht="42.75" customHeight="1" x14ac:dyDescent="0.25">
      <c r="B7" s="90" t="s">
        <v>91</v>
      </c>
      <c r="C7" s="93"/>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Summary'!C17</f>
        <v>0</v>
      </c>
      <c r="G11" s="48">
        <f>SUM(Table267[Priority])</f>
        <v>6</v>
      </c>
      <c r="H11" s="8">
        <f>SUM(Table267[Weight])</f>
        <v>0</v>
      </c>
      <c r="I11" s="7"/>
      <c r="J11" s="7"/>
      <c r="K11" s="9" t="s">
        <v>17</v>
      </c>
      <c r="L11" s="8">
        <f>SUM(Table267[Score])</f>
        <v>0</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11" t="s">
        <v>102</v>
      </c>
      <c r="B12" s="12" t="s">
        <v>19</v>
      </c>
      <c r="C12" s="13" t="s">
        <v>103</v>
      </c>
      <c r="D12" s="14" t="s">
        <v>21</v>
      </c>
      <c r="E12" s="14" t="s">
        <v>22</v>
      </c>
      <c r="F12" s="15" t="s">
        <v>23</v>
      </c>
      <c r="G12" s="16" t="s">
        <v>24</v>
      </c>
      <c r="H12" s="16" t="s">
        <v>25</v>
      </c>
      <c r="I12" s="15" t="s">
        <v>114</v>
      </c>
      <c r="J12" s="16" t="s">
        <v>27</v>
      </c>
      <c r="K12" s="15" t="s">
        <v>28</v>
      </c>
      <c r="L12" s="17" t="s">
        <v>29</v>
      </c>
      <c r="M12" s="15" t="s">
        <v>30</v>
      </c>
      <c r="N12" s="18" t="s">
        <v>31</v>
      </c>
      <c r="O12" s="18" t="s">
        <v>32</v>
      </c>
      <c r="P12" s="18" t="s">
        <v>33</v>
      </c>
      <c r="Q12" s="18" t="s">
        <v>34</v>
      </c>
      <c r="R12" s="18" t="s">
        <v>35</v>
      </c>
      <c r="S12" s="18" t="s">
        <v>36</v>
      </c>
      <c r="T12" s="18" t="s">
        <v>37</v>
      </c>
      <c r="U12" s="18" t="s">
        <v>38</v>
      </c>
      <c r="V12" s="18" t="s">
        <v>39</v>
      </c>
      <c r="W12" s="18" t="s">
        <v>40</v>
      </c>
      <c r="X12" s="18" t="s">
        <v>41</v>
      </c>
      <c r="Y12" s="19" t="s">
        <v>42</v>
      </c>
      <c r="Z12" s="19" t="s">
        <v>43</v>
      </c>
      <c r="AA12" s="19" t="s">
        <v>44</v>
      </c>
      <c r="AB12" s="19" t="s">
        <v>45</v>
      </c>
      <c r="AC12" s="19" t="s">
        <v>46</v>
      </c>
      <c r="AD12" s="19" t="s">
        <v>47</v>
      </c>
      <c r="AE12" s="19" t="s">
        <v>48</v>
      </c>
      <c r="AF12" s="19" t="s">
        <v>49</v>
      </c>
      <c r="AG12" s="19" t="s">
        <v>50</v>
      </c>
      <c r="AH12" s="19" t="s">
        <v>51</v>
      </c>
      <c r="AI12" s="19" t="s">
        <v>52</v>
      </c>
    </row>
    <row r="13" spans="1:35" ht="84" x14ac:dyDescent="0.2">
      <c r="A13" s="20">
        <v>1</v>
      </c>
      <c r="B13" s="21" t="s">
        <v>441</v>
      </c>
      <c r="C13" s="21" t="s">
        <v>442</v>
      </c>
      <c r="D13" s="21"/>
      <c r="E13" s="21" t="s">
        <v>55</v>
      </c>
      <c r="F13" s="22" t="s">
        <v>443</v>
      </c>
      <c r="G13" s="23" cm="1">
        <f t="array" ref="G13">_xlfn.IFS(F13="","",F13="No interest",0,F13="Nice to have",1,F13="Useful",2,F13="Important",3,F13="Very important",4,F13="Critical",5,F13="Show stopper",6)</f>
        <v>1</v>
      </c>
      <c r="H13" s="24">
        <f t="shared" ref="H13:H14" si="0">(G13/$G$11)*$F$11</f>
        <v>0</v>
      </c>
      <c r="I13" s="25" t="s">
        <v>444</v>
      </c>
      <c r="J13" s="25" t="str" cm="1">
        <f t="array" ref="J13">_xlfn.TEXTJOIN(" "&amp;CHAR(10),,TEXT(SUBSTITUTE(Table267[[#This Row],[12]:[22]],".",","),"0,00%"))</f>
        <v>0,00% 
0,00%</v>
      </c>
      <c r="K13" s="26" t="s">
        <v>445</v>
      </c>
      <c r="L13" s="27">
        <f>H13-(H13*((MATCH(Table267[[#This Row],[Evaluators Response (SELECT)]],Table267[[#This Row],[1]:[11]],0)-1)/(COUNTA(Table267[[#This Row],[1]:[11]])-COUNTBLANK(Table267[[#This Row],[1]:[11]])-1)))</f>
        <v>0</v>
      </c>
      <c r="M13" s="28"/>
      <c r="N13" s="29" t="str" cm="1">
        <f t="array" ref="N13">IFERROR(INDEX(_xlfn.UNIQUE(TRIM(_xlfn.TEXTSPLIT(Table267[[#This Row],[Selection Options]:[Selection Options]],","))),,N$11),"")</f>
        <v>Compatible</v>
      </c>
      <c r="O13" s="29" t="str" cm="1">
        <f t="array" ref="O13">IFERROR(INDEX(_xlfn.UNIQUE(TRIM(_xlfn.TEXTSPLIT(Table267[[#This Row],[Selection Options]:[Selection Options]],","))),,O$11),"")</f>
        <v xml:space="preserve">
Incompatible</v>
      </c>
      <c r="P13" s="29" t="str" cm="1">
        <f t="array" ref="P13">IFERROR(INDEX(_xlfn.UNIQUE(TRIM(_xlfn.TEXTSPLIT(Table267[[#This Row],[Selection Options]:[Selection Options]],","))),,P$11),"")</f>
        <v/>
      </c>
      <c r="Q13" s="29" t="str" cm="1">
        <f t="array" ref="Q13">IFERROR(INDEX(_xlfn.UNIQUE(TRIM(_xlfn.TEXTSPLIT(Table267[[#This Row],[Selection Options]:[Selection Options]],","))),,Q$11),"")</f>
        <v/>
      </c>
      <c r="R13" s="29" t="str" cm="1">
        <f t="array" ref="R13">IFERROR(INDEX(_xlfn.UNIQUE(TRIM(_xlfn.TEXTSPLIT(Table267[[#This Row],[Selection Options]:[Selection Options]],","))),,R$11),"")</f>
        <v/>
      </c>
      <c r="S13" s="29" t="str" cm="1">
        <f t="array" ref="S13">IFERROR(INDEX(_xlfn.UNIQUE(TRIM(_xlfn.TEXTSPLIT(Table267[[#This Row],[Selection Options]:[Selection Options]],","))),,S$11),"")</f>
        <v/>
      </c>
      <c r="T13" s="29" t="str" cm="1">
        <f t="array" ref="T13">IFERROR(INDEX(_xlfn.UNIQUE(TRIM(_xlfn.TEXTSPLIT(Table267[[#This Row],[Selection Options]:[Selection Options]],","))),,T$11),"")</f>
        <v/>
      </c>
      <c r="U13" s="29" t="str" cm="1">
        <f t="array" ref="U13">IFERROR(INDEX(_xlfn.UNIQUE(TRIM(_xlfn.TEXTSPLIT(Table267[[#This Row],[Selection Options]:[Selection Options]],","))),,U$11),"")</f>
        <v/>
      </c>
      <c r="V13" s="29" t="str" cm="1">
        <f t="array" ref="V13">IFERROR(INDEX(_xlfn.UNIQUE(TRIM(_xlfn.TEXTSPLIT(Table267[[#This Row],[Selection Options]:[Selection Options]],","))),,V$11),"")</f>
        <v/>
      </c>
      <c r="W13" s="29" t="str" cm="1">
        <f t="array" ref="W13">IFERROR(INDEX(_xlfn.UNIQUE(TRIM(_xlfn.TEXTSPLIT(Table267[[#This Row],[Selection Options]:[Selection Options]],","))),,W$11),"")</f>
        <v/>
      </c>
      <c r="X13" s="29" t="str" cm="1">
        <f t="array" ref="X13">IFERROR(INDEX(_xlfn.UNIQUE(TRIM(_xlfn.TEXTSPLIT(Table267[[#This Row],[Selection Options]:[Selection Options]],","))),,X$11),"")</f>
        <v/>
      </c>
      <c r="Y13" s="30" cm="1">
        <f t="array" ref="Y13">IF(Table267[[#This Row],[1]]="","",Table267[[#This Row],[Weight]:[Weight]]-(Table267[[#This Row],[Weight]:[Weight]]*((_xlfn.XMATCH(Table267[[#This Row],[1]],Table267[[#This Row],[1]:[11]],0))-1)/(COUNTA(Table267[[#This Row],[1]:[11]])-COUNTBLANK(Table267[[#This Row],[1]:[11]])-1)))</f>
        <v>0</v>
      </c>
      <c r="Z13" s="30" cm="1">
        <f t="array" ref="Z13">IF(Table267[[#This Row],[2]]="","",Table267[[#This Row],[Weight]:[Weight]]-(Table267[[#This Row],[Weight]:[Weight]]*((_xlfn.XMATCH(Table267[[#This Row],[2]],Table267[[#This Row],[1]:[11]],0))-1)/(COUNTA(Table267[[#This Row],[1]:[11]])-COUNTBLANK(Table267[[#This Row],[1]:[11]])-1)))</f>
        <v>0</v>
      </c>
      <c r="AA13" s="30" t="str" cm="1">
        <f t="array" ref="AA13">IF(Table267[[#This Row],[3]]="","",Table267[[#This Row],[Weight]:[Weight]]-(Table267[[#This Row],[Weight]:[Weight]]*((_xlfn.XMATCH(Table267[[#This Row],[3]],Table267[[#This Row],[1]:[11]],0))-1)/(COUNTA(Table267[[#This Row],[1]:[11]])-COUNTBLANK(Table267[[#This Row],[1]:[11]])-1)))</f>
        <v/>
      </c>
      <c r="AB13" s="30" t="str" cm="1">
        <f t="array" ref="AB13">IF(Table267[[#This Row],[4]]="","",Table267[[#This Row],[Weight]:[Weight]]-(Table267[[#This Row],[Weight]:[Weight]]*((_xlfn.XMATCH(Table267[[#This Row],[4]],Table267[[#This Row],[1]:[11]],0))-1)/(COUNTA(Table267[[#This Row],[1]:[11]])-COUNTBLANK(Table267[[#This Row],[1]:[11]])-1)))</f>
        <v/>
      </c>
      <c r="AC13" s="30" t="str" cm="1">
        <f t="array" ref="AC13">IF(Table267[[#This Row],[5]]="","",Table267[[#This Row],[Weight]:[Weight]]-(Table267[[#This Row],[Weight]:[Weight]]*((_xlfn.XMATCH(Table267[[#This Row],[5]],Table267[[#This Row],[1]:[11]],0))-1)/(COUNTA(Table267[[#This Row],[1]:[11]])-COUNTBLANK(Table267[[#This Row],[1]:[11]])-1)))</f>
        <v/>
      </c>
      <c r="AD13" s="30" t="str" cm="1">
        <f t="array" ref="AD13">IF(Table267[[#This Row],[6]]="","",Table267[[#This Row],[Weight]:[Weight]]-(Table267[[#This Row],[Weight]:[Weight]]*((_xlfn.XMATCH(Table267[[#This Row],[6]],Table267[[#This Row],[1]:[11]],0))-1)/(COUNTA(Table267[[#This Row],[1]:[11]])-COUNTBLANK(Table267[[#This Row],[1]:[11]])-1)))</f>
        <v/>
      </c>
      <c r="AE13" s="30" t="str" cm="1">
        <f t="array" ref="AE13">IF(Table267[[#This Row],[7]]="","",Table267[[#This Row],[Weight]:[Weight]]-(Table267[[#This Row],[Weight]:[Weight]]*((_xlfn.XMATCH(Table267[[#This Row],[7]],Table267[[#This Row],[1]:[11]],0))-1)/(COUNTA(Table267[[#This Row],[1]:[11]])-COUNTBLANK(Table267[[#This Row],[1]:[11]])-1)))</f>
        <v/>
      </c>
      <c r="AF13" s="30" t="str" cm="1">
        <f t="array" ref="AF13">IF(Table267[[#This Row],[8]]="","",Table267[[#This Row],[Weight]:[Weight]]-(Table267[[#This Row],[Weight]:[Weight]]*((_xlfn.XMATCH(Table267[[#This Row],[8]],Table267[[#This Row],[1]:[11]],0))-1)/(COUNTA(Table267[[#This Row],[1]:[11]])-COUNTBLANK(Table267[[#This Row],[1]:[11]])-1)))</f>
        <v/>
      </c>
      <c r="AG13" s="30" t="str" cm="1">
        <f t="array" ref="AG13">IF(Table267[[#This Row],[9]]="","",Table267[[#This Row],[Weight]:[Weight]]-(Table267[[#This Row],[Weight]:[Weight]]*((_xlfn.XMATCH(Table267[[#This Row],[9]],Table267[[#This Row],[1]:[11]],0))-1)/(COUNTA(Table267[[#This Row],[1]:[11]])-COUNTBLANK(Table267[[#This Row],[1]:[11]])-1)))</f>
        <v/>
      </c>
      <c r="AH13" s="30" t="str" cm="1">
        <f t="array" ref="AH13">IF(Table267[[#This Row],[10]]="","",Table267[[#This Row],[Weight]:[Weight]]-(Table267[[#This Row],[Weight]:[Weight]]*((_xlfn.XMATCH(Table267[[#This Row],[10]],Table267[[#This Row],[1]:[11]],0))-1)/(COUNTA(Table267[[#This Row],[1]:[11]])-COUNTBLANK(Table267[[#This Row],[1]:[11]])-1)))</f>
        <v/>
      </c>
      <c r="AI13" s="30" t="str" cm="1">
        <f t="array" ref="AI13">IF(Table267[[#This Row],[11]]="","",Table267[[#This Row],[Weight]:[Weight]]-(Table267[[#This Row],[Weight]:[Weight]]*((_xlfn.XMATCH(Table267[[#This Row],[11]],Table267[[#This Row],[1]:[11]],0))-1)/(COUNTA(Table267[[#This Row],[1]:[11]])-COUNTBLANK(Table267[[#This Row],[1]:[11]])-1)))</f>
        <v/>
      </c>
    </row>
    <row r="14" spans="1:35" ht="24" x14ac:dyDescent="0.2">
      <c r="A14" s="20">
        <v>2</v>
      </c>
      <c r="B14" s="31"/>
      <c r="C14" s="31" t="s">
        <v>59</v>
      </c>
      <c r="D14" s="31"/>
      <c r="E14" s="31"/>
      <c r="F14" s="22" t="s">
        <v>106</v>
      </c>
      <c r="G14" s="23" cm="1">
        <f t="array" ref="G14">_xlfn.IFS(F14="","",F14="No interest",0,F14="Nice to have",1,F14="Useful",2,F14="Important",3,F14="Very important",4,F14="Critical",5,F14="Show stopper",6)</f>
        <v>5</v>
      </c>
      <c r="H14" s="24">
        <f t="shared" si="0"/>
        <v>0</v>
      </c>
      <c r="I14" s="25" t="s">
        <v>444</v>
      </c>
      <c r="J14" s="25" t="str" cm="1">
        <f t="array" ref="J14">_xlfn.TEXTJOIN(" "&amp;CHAR(10),,TEXT(SUBSTITUTE(Table267[[#This Row],[12]:[22]],".",","),"0,00%"))</f>
        <v>0,00% 
0,00%</v>
      </c>
      <c r="K14" s="26" t="s">
        <v>445</v>
      </c>
      <c r="L14" s="27">
        <f>H14-(H14*((MATCH(Table267[[#This Row],[Evaluators Response (SELECT)]],Table267[[#This Row],[1]:[11]],0)-1)/(COUNTA(Table267[[#This Row],[1]:[11]])-COUNTBLANK(Table267[[#This Row],[1]:[11]])-1)))</f>
        <v>0</v>
      </c>
      <c r="M14" s="28"/>
      <c r="N14" s="29" t="str" cm="1">
        <f t="array" ref="N14">IFERROR(INDEX(_xlfn.UNIQUE(TRIM(_xlfn.TEXTSPLIT(Table267[[#This Row],[Selection Options]:[Selection Options]],","))),,N$11),"")</f>
        <v>Compatible</v>
      </c>
      <c r="O14" s="29" t="str" cm="1">
        <f t="array" ref="O14">IFERROR(INDEX(_xlfn.UNIQUE(TRIM(_xlfn.TEXTSPLIT(Table267[[#This Row],[Selection Options]:[Selection Options]],","))),,O$11),"")</f>
        <v xml:space="preserve">
Incompatible</v>
      </c>
      <c r="P14" s="29" t="str" cm="1">
        <f t="array" ref="P14">IFERROR(INDEX(_xlfn.UNIQUE(TRIM(_xlfn.TEXTSPLIT(Table267[[#This Row],[Selection Options]:[Selection Options]],","))),,P$11),"")</f>
        <v/>
      </c>
      <c r="Q14" s="29" t="str" cm="1">
        <f t="array" ref="Q14">IFERROR(INDEX(_xlfn.UNIQUE(TRIM(_xlfn.TEXTSPLIT(Table267[[#This Row],[Selection Options]:[Selection Options]],","))),,Q$11),"")</f>
        <v/>
      </c>
      <c r="R14" s="29" t="str" cm="1">
        <f t="array" ref="R14">IFERROR(INDEX(_xlfn.UNIQUE(TRIM(_xlfn.TEXTSPLIT(Table267[[#This Row],[Selection Options]:[Selection Options]],","))),,R$11),"")</f>
        <v/>
      </c>
      <c r="S14" s="29" t="str" cm="1">
        <f t="array" ref="S14">IFERROR(INDEX(_xlfn.UNIQUE(TRIM(_xlfn.TEXTSPLIT(Table267[[#This Row],[Selection Options]:[Selection Options]],","))),,S$11),"")</f>
        <v/>
      </c>
      <c r="T14" s="29" t="str" cm="1">
        <f t="array" ref="T14">IFERROR(INDEX(_xlfn.UNIQUE(TRIM(_xlfn.TEXTSPLIT(Table267[[#This Row],[Selection Options]:[Selection Options]],","))),,T$11),"")</f>
        <v/>
      </c>
      <c r="U14" s="29" t="str" cm="1">
        <f t="array" ref="U14">IFERROR(INDEX(_xlfn.UNIQUE(TRIM(_xlfn.TEXTSPLIT(Table267[[#This Row],[Selection Options]:[Selection Options]],","))),,U$11),"")</f>
        <v/>
      </c>
      <c r="V14" s="29" t="str" cm="1">
        <f t="array" ref="V14">IFERROR(INDEX(_xlfn.UNIQUE(TRIM(_xlfn.TEXTSPLIT(Table267[[#This Row],[Selection Options]:[Selection Options]],","))),,V$11),"")</f>
        <v/>
      </c>
      <c r="W14" s="29" t="str" cm="1">
        <f t="array" ref="W14">IFERROR(INDEX(_xlfn.UNIQUE(TRIM(_xlfn.TEXTSPLIT(Table267[[#This Row],[Selection Options]:[Selection Options]],","))),,W$11),"")</f>
        <v/>
      </c>
      <c r="X14" s="29" t="str" cm="1">
        <f t="array" ref="X14">IFERROR(INDEX(_xlfn.UNIQUE(TRIM(_xlfn.TEXTSPLIT(Table267[[#This Row],[Selection Options]:[Selection Options]],","))),,X$11),"")</f>
        <v/>
      </c>
      <c r="Y14" s="30" cm="1">
        <f t="array" ref="Y14">IF(Table267[[#This Row],[1]]="","",Table267[[#This Row],[Weight]:[Weight]]-(Table267[[#This Row],[Weight]:[Weight]]*((_xlfn.XMATCH(Table267[[#This Row],[1]],Table267[[#This Row],[1]:[11]],0))-1)/(COUNTA(Table267[[#This Row],[1]:[11]])-COUNTBLANK(Table267[[#This Row],[1]:[11]])-1)))</f>
        <v>0</v>
      </c>
      <c r="Z14" s="30" cm="1">
        <f t="array" ref="Z14">IF(Table267[[#This Row],[2]]="","",Table267[[#This Row],[Weight]:[Weight]]-(Table267[[#This Row],[Weight]:[Weight]]*((_xlfn.XMATCH(Table267[[#This Row],[2]],Table267[[#This Row],[1]:[11]],0))-1)/(COUNTA(Table267[[#This Row],[1]:[11]])-COUNTBLANK(Table267[[#This Row],[1]:[11]])-1)))</f>
        <v>0</v>
      </c>
      <c r="AA14" s="30" t="str" cm="1">
        <f t="array" ref="AA14">IF(Table267[[#This Row],[3]]="","",Table267[[#This Row],[Weight]:[Weight]]-(Table267[[#This Row],[Weight]:[Weight]]*((_xlfn.XMATCH(Table267[[#This Row],[3]],Table267[[#This Row],[1]:[11]],0))-1)/(COUNTA(Table267[[#This Row],[1]:[11]])-COUNTBLANK(Table267[[#This Row],[1]:[11]])-1)))</f>
        <v/>
      </c>
      <c r="AB14" s="30" t="str" cm="1">
        <f t="array" ref="AB14">IF(Table267[[#This Row],[4]]="","",Table267[[#This Row],[Weight]:[Weight]]-(Table267[[#This Row],[Weight]:[Weight]]*((_xlfn.XMATCH(Table267[[#This Row],[4]],Table267[[#This Row],[1]:[11]],0))-1)/(COUNTA(Table267[[#This Row],[1]:[11]])-COUNTBLANK(Table267[[#This Row],[1]:[11]])-1)))</f>
        <v/>
      </c>
      <c r="AC14" s="30" t="str" cm="1">
        <f t="array" ref="AC14">IF(Table267[[#This Row],[5]]="","",Table267[[#This Row],[Weight]:[Weight]]-(Table267[[#This Row],[Weight]:[Weight]]*((_xlfn.XMATCH(Table267[[#This Row],[5]],Table267[[#This Row],[1]:[11]],0))-1)/(COUNTA(Table267[[#This Row],[1]:[11]])-COUNTBLANK(Table267[[#This Row],[1]:[11]])-1)))</f>
        <v/>
      </c>
      <c r="AD14" s="30" t="str" cm="1">
        <f t="array" ref="AD14">IF(Table267[[#This Row],[6]]="","",Table267[[#This Row],[Weight]:[Weight]]-(Table267[[#This Row],[Weight]:[Weight]]*((_xlfn.XMATCH(Table267[[#This Row],[6]],Table267[[#This Row],[1]:[11]],0))-1)/(COUNTA(Table267[[#This Row],[1]:[11]])-COUNTBLANK(Table267[[#This Row],[1]:[11]])-1)))</f>
        <v/>
      </c>
      <c r="AE14" s="30" t="str" cm="1">
        <f t="array" ref="AE14">IF(Table267[[#This Row],[7]]="","",Table267[[#This Row],[Weight]:[Weight]]-(Table267[[#This Row],[Weight]:[Weight]]*((_xlfn.XMATCH(Table267[[#This Row],[7]],Table267[[#This Row],[1]:[11]],0))-1)/(COUNTA(Table267[[#This Row],[1]:[11]])-COUNTBLANK(Table267[[#This Row],[1]:[11]])-1)))</f>
        <v/>
      </c>
      <c r="AF14" s="30" t="str" cm="1">
        <f t="array" ref="AF14">IF(Table267[[#This Row],[8]]="","",Table267[[#This Row],[Weight]:[Weight]]-(Table267[[#This Row],[Weight]:[Weight]]*((_xlfn.XMATCH(Table267[[#This Row],[8]],Table267[[#This Row],[1]:[11]],0))-1)/(COUNTA(Table267[[#This Row],[1]:[11]])-COUNTBLANK(Table267[[#This Row],[1]:[11]])-1)))</f>
        <v/>
      </c>
      <c r="AG14" s="30" t="str" cm="1">
        <f t="array" ref="AG14">IF(Table267[[#This Row],[9]]="","",Table267[[#This Row],[Weight]:[Weight]]-(Table267[[#This Row],[Weight]:[Weight]]*((_xlfn.XMATCH(Table267[[#This Row],[9]],Table267[[#This Row],[1]:[11]],0))-1)/(COUNTA(Table267[[#This Row],[1]:[11]])-COUNTBLANK(Table267[[#This Row],[1]:[11]])-1)))</f>
        <v/>
      </c>
      <c r="AH14" s="30" t="str" cm="1">
        <f t="array" ref="AH14">IF(Table267[[#This Row],[10]]="","",Table267[[#This Row],[Weight]:[Weight]]-(Table267[[#This Row],[Weight]:[Weight]]*((_xlfn.XMATCH(Table267[[#This Row],[10]],Table267[[#This Row],[1]:[11]],0))-1)/(COUNTA(Table267[[#This Row],[1]:[11]])-COUNTBLANK(Table267[[#This Row],[1]:[11]])-1)))</f>
        <v/>
      </c>
      <c r="AI14" s="30" t="str" cm="1">
        <f t="array" ref="AI14">IF(Table267[[#This Row],[11]]="","",Table267[[#This Row],[Weight]:[Weight]]-(Table267[[#This Row],[Weight]:[Weight]]*((_xlfn.XMATCH(Table267[[#This Row],[11]],Table267[[#This Row],[1]:[11]],0))-1)/(COUNTA(Table267[[#This Row],[1]:[11]])-COUNTBLANK(Table267[[#This Row],[1]:[11]])-1)))</f>
        <v/>
      </c>
    </row>
  </sheetData>
  <sheetProtection insertRows="0" insertHyperlinks="0" deleteRows="0" autoFilter="0"/>
  <mergeCells count="4">
    <mergeCell ref="A10:A11"/>
    <mergeCell ref="B10:C11"/>
    <mergeCell ref="D10:E11"/>
    <mergeCell ref="E2:F3"/>
  </mergeCells>
  <conditionalFormatting sqref="K13:K14">
    <cfRule type="expression" dxfId="2" priority="1">
      <formula>COUNTIF(N13:X13,K13)&lt;&gt;1</formula>
    </cfRule>
  </conditionalFormatting>
  <dataValidations count="4">
    <dataValidation type="list" allowBlank="1" showInputMessage="1" showErrorMessage="1" sqref="M14" xr:uid="{54DDCB0B-658A-42D4-91BE-D5EBB5FEAB80}">
      <formula1>_xlfn.UNIQUE(TRIM(_xlfn.TEXTSPLIT(#REF!,",")))</formula1>
    </dataValidation>
    <dataValidation type="list" allowBlank="1" showInputMessage="1" showErrorMessage="1" sqref="F13:F14" xr:uid="{98E96727-2099-468A-9B50-E89F569CDADC}">
      <formula1>"No interest,Nice to have,Useful,Important,Very important,Critical,Show stopper"</formula1>
    </dataValidation>
    <dataValidation type="list" allowBlank="1" showInputMessage="1" showErrorMessage="1" sqref="H13:H14" xr:uid="{2A8BE135-E612-40EB-A423-FECD4D094282}">
      <formula1>N13:R13</formula1>
    </dataValidation>
    <dataValidation type="list" allowBlank="1" showInputMessage="1" showErrorMessage="1" sqref="K13:K14" xr:uid="{5EA18CC5-ACF2-48F7-A403-7CC8E9B5F45F}">
      <formula1>$N13:$X13</formula1>
    </dataValidation>
  </dataValidations>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4353D-6957-4E2A-A4FC-49C898AA2366}">
  <sheetPr>
    <pageSetUpPr fitToPage="1"/>
  </sheetPr>
  <dimension ref="B1:C60"/>
  <sheetViews>
    <sheetView workbookViewId="0">
      <selection activeCell="B20" sqref="B20"/>
    </sheetView>
  </sheetViews>
  <sheetFormatPr defaultRowHeight="15" x14ac:dyDescent="0.25"/>
  <cols>
    <col min="2" max="2" width="14.85546875" customWidth="1"/>
    <col min="3" max="3" width="79.140625" customWidth="1"/>
  </cols>
  <sheetData>
    <row r="1" spans="2:3" ht="15.75" thickBot="1" x14ac:dyDescent="0.3"/>
    <row r="2" spans="2:3" ht="16.5" thickBot="1" x14ac:dyDescent="0.3">
      <c r="B2" s="310" t="s">
        <v>446</v>
      </c>
      <c r="C2" s="311"/>
    </row>
    <row r="3" spans="2:3" x14ac:dyDescent="0.25">
      <c r="B3" s="109" t="s">
        <v>447</v>
      </c>
      <c r="C3" s="110" t="s">
        <v>448</v>
      </c>
    </row>
    <row r="4" spans="2:3" x14ac:dyDescent="0.25">
      <c r="B4" s="109" t="s">
        <v>449</v>
      </c>
      <c r="C4" s="110" t="s">
        <v>450</v>
      </c>
    </row>
    <row r="5" spans="2:3" x14ac:dyDescent="0.25">
      <c r="B5" s="109" t="s">
        <v>451</v>
      </c>
      <c r="C5" s="110" t="s">
        <v>452</v>
      </c>
    </row>
    <row r="6" spans="2:3" x14ac:dyDescent="0.25">
      <c r="B6" s="109" t="s">
        <v>453</v>
      </c>
      <c r="C6" s="110" t="s">
        <v>454</v>
      </c>
    </row>
    <row r="7" spans="2:3" x14ac:dyDescent="0.25">
      <c r="B7" s="109" t="s">
        <v>455</v>
      </c>
      <c r="C7" s="110" t="s">
        <v>456</v>
      </c>
    </row>
    <row r="8" spans="2:3" x14ac:dyDescent="0.25">
      <c r="B8" s="109" t="s">
        <v>457</v>
      </c>
      <c r="C8" s="110" t="s">
        <v>458</v>
      </c>
    </row>
    <row r="9" spans="2:3" x14ac:dyDescent="0.25">
      <c r="B9" s="109" t="s">
        <v>459</v>
      </c>
      <c r="C9" s="110" t="s">
        <v>460</v>
      </c>
    </row>
    <row r="10" spans="2:3" x14ac:dyDescent="0.25">
      <c r="B10" s="109" t="s">
        <v>461</v>
      </c>
      <c r="C10" s="110" t="s">
        <v>462</v>
      </c>
    </row>
    <row r="11" spans="2:3" x14ac:dyDescent="0.25">
      <c r="B11" s="109" t="s">
        <v>463</v>
      </c>
      <c r="C11" s="110" t="s">
        <v>464</v>
      </c>
    </row>
    <row r="12" spans="2:3" x14ac:dyDescent="0.25">
      <c r="B12" s="109" t="s">
        <v>465</v>
      </c>
      <c r="C12" s="110" t="s">
        <v>466</v>
      </c>
    </row>
    <row r="13" spans="2:3" x14ac:dyDescent="0.25">
      <c r="B13" s="109" t="s">
        <v>467</v>
      </c>
      <c r="C13" s="110" t="s">
        <v>468</v>
      </c>
    </row>
    <row r="14" spans="2:3" x14ac:dyDescent="0.25">
      <c r="B14" s="109" t="s">
        <v>469</v>
      </c>
      <c r="C14" s="110" t="s">
        <v>470</v>
      </c>
    </row>
    <row r="15" spans="2:3" x14ac:dyDescent="0.25">
      <c r="B15" s="109" t="s">
        <v>471</v>
      </c>
      <c r="C15" s="110" t="s">
        <v>472</v>
      </c>
    </row>
    <row r="16" spans="2:3" x14ac:dyDescent="0.25">
      <c r="B16" s="109" t="s">
        <v>473</v>
      </c>
      <c r="C16" s="110" t="s">
        <v>474</v>
      </c>
    </row>
    <row r="17" spans="2:3" x14ac:dyDescent="0.25">
      <c r="B17" s="109" t="s">
        <v>475</v>
      </c>
      <c r="C17" s="110" t="s">
        <v>476</v>
      </c>
    </row>
    <row r="18" spans="2:3" x14ac:dyDescent="0.25">
      <c r="B18" s="109" t="s">
        <v>477</v>
      </c>
      <c r="C18" s="110" t="s">
        <v>478</v>
      </c>
    </row>
    <row r="19" spans="2:3" x14ac:dyDescent="0.25">
      <c r="B19" s="109" t="s">
        <v>479</v>
      </c>
      <c r="C19" s="110" t="s">
        <v>480</v>
      </c>
    </row>
    <row r="20" spans="2:3" x14ac:dyDescent="0.25">
      <c r="B20" s="109" t="s">
        <v>481</v>
      </c>
      <c r="C20" s="110" t="s">
        <v>482</v>
      </c>
    </row>
    <row r="21" spans="2:3" x14ac:dyDescent="0.25">
      <c r="B21" s="109" t="s">
        <v>483</v>
      </c>
      <c r="C21" s="110" t="s">
        <v>484</v>
      </c>
    </row>
    <row r="22" spans="2:3" x14ac:dyDescent="0.25">
      <c r="B22" s="109" t="s">
        <v>485</v>
      </c>
      <c r="C22" s="110" t="s">
        <v>486</v>
      </c>
    </row>
    <row r="23" spans="2:3" x14ac:dyDescent="0.25">
      <c r="B23" s="109" t="s">
        <v>487</v>
      </c>
      <c r="C23" s="110" t="s">
        <v>488</v>
      </c>
    </row>
    <row r="24" spans="2:3" x14ac:dyDescent="0.25">
      <c r="B24" s="111" t="s">
        <v>489</v>
      </c>
      <c r="C24" s="112" t="s">
        <v>490</v>
      </c>
    </row>
    <row r="25" spans="2:3" x14ac:dyDescent="0.25">
      <c r="B25" s="111" t="s">
        <v>491</v>
      </c>
      <c r="C25" s="112" t="s">
        <v>492</v>
      </c>
    </row>
    <row r="26" spans="2:3" x14ac:dyDescent="0.25">
      <c r="B26" s="111" t="s">
        <v>493</v>
      </c>
      <c r="C26" s="112" t="s">
        <v>494</v>
      </c>
    </row>
    <row r="27" spans="2:3" x14ac:dyDescent="0.25">
      <c r="B27" s="111" t="s">
        <v>495</v>
      </c>
      <c r="C27" s="112" t="s">
        <v>496</v>
      </c>
    </row>
    <row r="28" spans="2:3" x14ac:dyDescent="0.25">
      <c r="B28" s="111" t="s">
        <v>497</v>
      </c>
      <c r="C28" s="112" t="s">
        <v>498</v>
      </c>
    </row>
    <row r="29" spans="2:3" x14ac:dyDescent="0.25">
      <c r="B29" s="111" t="s">
        <v>499</v>
      </c>
      <c r="C29" s="112" t="s">
        <v>500</v>
      </c>
    </row>
    <row r="30" spans="2:3" x14ac:dyDescent="0.25">
      <c r="B30" s="111" t="s">
        <v>501</v>
      </c>
      <c r="C30" s="112" t="s">
        <v>502</v>
      </c>
    </row>
    <row r="31" spans="2:3" x14ac:dyDescent="0.25">
      <c r="B31" s="111" t="s">
        <v>503</v>
      </c>
      <c r="C31" s="112" t="s">
        <v>504</v>
      </c>
    </row>
    <row r="32" spans="2:3" x14ac:dyDescent="0.25">
      <c r="B32" s="111" t="s">
        <v>505</v>
      </c>
      <c r="C32" s="112" t="s">
        <v>506</v>
      </c>
    </row>
    <row r="33" spans="2:3" x14ac:dyDescent="0.25">
      <c r="B33" s="111" t="s">
        <v>507</v>
      </c>
      <c r="C33" s="112" t="s">
        <v>508</v>
      </c>
    </row>
    <row r="34" spans="2:3" x14ac:dyDescent="0.25">
      <c r="B34" s="111" t="s">
        <v>509</v>
      </c>
      <c r="C34" s="112" t="s">
        <v>510</v>
      </c>
    </row>
    <row r="35" spans="2:3" x14ac:dyDescent="0.25">
      <c r="B35" s="111" t="s">
        <v>511</v>
      </c>
      <c r="C35" s="112" t="s">
        <v>512</v>
      </c>
    </row>
    <row r="36" spans="2:3" x14ac:dyDescent="0.25">
      <c r="B36" s="111" t="s">
        <v>513</v>
      </c>
      <c r="C36" s="112" t="s">
        <v>514</v>
      </c>
    </row>
    <row r="37" spans="2:3" x14ac:dyDescent="0.25">
      <c r="B37" s="111" t="s">
        <v>515</v>
      </c>
      <c r="C37" s="112" t="s">
        <v>516</v>
      </c>
    </row>
    <row r="38" spans="2:3" x14ac:dyDescent="0.25">
      <c r="B38" s="111" t="s">
        <v>517</v>
      </c>
      <c r="C38" s="112" t="s">
        <v>518</v>
      </c>
    </row>
    <row r="39" spans="2:3" x14ac:dyDescent="0.25">
      <c r="B39" s="111" t="s">
        <v>519</v>
      </c>
      <c r="C39" s="112" t="s">
        <v>520</v>
      </c>
    </row>
    <row r="40" spans="2:3" x14ac:dyDescent="0.25">
      <c r="B40" s="111" t="s">
        <v>521</v>
      </c>
      <c r="C40" s="112" t="s">
        <v>522</v>
      </c>
    </row>
    <row r="41" spans="2:3" x14ac:dyDescent="0.25">
      <c r="B41" s="111" t="s">
        <v>523</v>
      </c>
      <c r="C41" s="112" t="s">
        <v>524</v>
      </c>
    </row>
    <row r="42" spans="2:3" x14ac:dyDescent="0.25">
      <c r="B42" s="111" t="s">
        <v>525</v>
      </c>
      <c r="C42" s="112" t="s">
        <v>526</v>
      </c>
    </row>
    <row r="43" spans="2:3" x14ac:dyDescent="0.25">
      <c r="B43" s="111" t="s">
        <v>527</v>
      </c>
      <c r="C43" s="112" t="s">
        <v>528</v>
      </c>
    </row>
    <row r="44" spans="2:3" x14ac:dyDescent="0.25">
      <c r="B44" s="111" t="s">
        <v>529</v>
      </c>
      <c r="C44" s="112" t="s">
        <v>530</v>
      </c>
    </row>
    <row r="45" spans="2:3" ht="15.75" thickBot="1" x14ac:dyDescent="0.3">
      <c r="B45" s="113"/>
      <c r="C45" s="114"/>
    </row>
    <row r="47" spans="2:3" ht="15.75" thickBot="1" x14ac:dyDescent="0.3"/>
    <row r="48" spans="2:3" ht="16.5" thickBot="1" x14ac:dyDescent="0.3">
      <c r="B48" s="310" t="s">
        <v>531</v>
      </c>
      <c r="C48" s="311"/>
    </row>
    <row r="49" spans="2:3" x14ac:dyDescent="0.25">
      <c r="B49" s="109"/>
      <c r="C49" s="110"/>
    </row>
    <row r="50" spans="2:3" x14ac:dyDescent="0.25">
      <c r="B50" s="111"/>
      <c r="C50" s="112"/>
    </row>
    <row r="51" spans="2:3" x14ac:dyDescent="0.25">
      <c r="B51" s="111"/>
      <c r="C51" s="112"/>
    </row>
    <row r="52" spans="2:3" x14ac:dyDescent="0.25">
      <c r="B52" s="111"/>
      <c r="C52" s="112"/>
    </row>
    <row r="53" spans="2:3" x14ac:dyDescent="0.25">
      <c r="B53" s="111"/>
      <c r="C53" s="112"/>
    </row>
    <row r="54" spans="2:3" x14ac:dyDescent="0.25">
      <c r="B54" s="111"/>
      <c r="C54" s="112"/>
    </row>
    <row r="55" spans="2:3" x14ac:dyDescent="0.25">
      <c r="B55" s="111"/>
      <c r="C55" s="112"/>
    </row>
    <row r="56" spans="2:3" x14ac:dyDescent="0.25">
      <c r="B56" s="111"/>
      <c r="C56" s="112"/>
    </row>
    <row r="57" spans="2:3" x14ac:dyDescent="0.25">
      <c r="B57" s="111"/>
      <c r="C57" s="112"/>
    </row>
    <row r="58" spans="2:3" x14ac:dyDescent="0.25">
      <c r="B58" s="111"/>
      <c r="C58" s="112"/>
    </row>
    <row r="59" spans="2:3" x14ac:dyDescent="0.25">
      <c r="B59" s="111"/>
      <c r="C59" s="112"/>
    </row>
    <row r="60" spans="2:3" ht="15.75" thickBot="1" x14ac:dyDescent="0.3">
      <c r="B60" s="113"/>
      <c r="C60" s="114"/>
    </row>
  </sheetData>
  <mergeCells count="2">
    <mergeCell ref="B2:C2"/>
    <mergeCell ref="B48:C48"/>
  </mergeCells>
  <pageMargins left="0.7" right="0.7" top="0.75" bottom="0.75" header="0.3" footer="0.3"/>
  <pageSetup paperSize="9" scale="77" fitToHeight="0" orientation="portrait" horizontalDpi="4294967293"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6935-F804-479F-8976-4A5A70307688}">
  <sheetPr>
    <tabColor rgb="FFFFFF00"/>
    <pageSetUpPr fitToPage="1"/>
  </sheetPr>
  <dimension ref="A1:I13"/>
  <sheetViews>
    <sheetView zoomScale="90" zoomScaleNormal="90" workbookViewId="0">
      <selection activeCell="B10" sqref="B10:E12"/>
    </sheetView>
  </sheetViews>
  <sheetFormatPr defaultRowHeight="15" x14ac:dyDescent="0.25"/>
  <cols>
    <col min="1" max="1" width="1.85546875" bestFit="1" customWidth="1"/>
    <col min="2" max="2" width="45.85546875" customWidth="1"/>
    <col min="3" max="3" width="44" customWidth="1"/>
    <col min="4" max="4" width="35.5703125" customWidth="1"/>
    <col min="5" max="5" width="32" customWidth="1"/>
    <col min="6" max="7" width="26.42578125" customWidth="1"/>
    <col min="8" max="8" width="3.5703125" customWidth="1"/>
  </cols>
  <sheetData>
    <row r="1" spans="1:9" s="52" customFormat="1" ht="14.45" customHeight="1" x14ac:dyDescent="0.25">
      <c r="A1" s="49"/>
      <c r="B1" s="55"/>
      <c r="C1" s="55"/>
      <c r="D1" s="55"/>
      <c r="E1" s="55"/>
      <c r="F1" s="55"/>
      <c r="G1" s="55"/>
      <c r="H1" s="55"/>
    </row>
    <row r="2" spans="1:9" s="52" customFormat="1" ht="15.6" customHeight="1" x14ac:dyDescent="0.25">
      <c r="A2" s="49"/>
      <c r="B2" s="90" t="s">
        <v>82</v>
      </c>
      <c r="C2" s="91" t="str">
        <f>'Scoring Summary'!C2</f>
        <v>&lt;insert before tender publication&gt;</v>
      </c>
      <c r="D2" s="55"/>
      <c r="E2" s="303" t="s">
        <v>532</v>
      </c>
      <c r="F2" s="304"/>
      <c r="G2" s="55"/>
      <c r="H2" s="55"/>
    </row>
    <row r="3" spans="1:9" s="52" customFormat="1" ht="15.6" customHeight="1" x14ac:dyDescent="0.25">
      <c r="A3" s="49"/>
      <c r="B3" s="90" t="s">
        <v>84</v>
      </c>
      <c r="C3" s="91" t="str">
        <f>'Scoring Summary'!C3</f>
        <v>Assurance Data Analytics</v>
      </c>
      <c r="D3" s="55"/>
      <c r="E3" s="305"/>
      <c r="F3" s="306"/>
      <c r="G3" s="55"/>
      <c r="H3" s="55"/>
    </row>
    <row r="4" spans="1:9" s="52" customFormat="1" ht="14.45" customHeight="1" x14ac:dyDescent="0.25">
      <c r="A4" s="49"/>
      <c r="B4" s="90" t="s">
        <v>86</v>
      </c>
      <c r="C4" s="93" t="str">
        <f>'Scoring Summary'!C4</f>
        <v>&lt;Evaluator to complete&gt;</v>
      </c>
      <c r="D4" s="55"/>
      <c r="E4" s="174" t="s">
        <v>70</v>
      </c>
      <c r="F4" s="171"/>
      <c r="G4" s="55"/>
      <c r="H4" s="55"/>
    </row>
    <row r="5" spans="1:9" s="52" customFormat="1" ht="14.45" customHeight="1" x14ac:dyDescent="0.25">
      <c r="A5" s="49"/>
      <c r="B5" s="90" t="s">
        <v>88</v>
      </c>
      <c r="C5" s="93" t="str">
        <f>'Scoring Summary'!C5</f>
        <v>&lt;Evaluator to complete&gt;</v>
      </c>
      <c r="D5" s="55"/>
      <c r="E5" s="172"/>
      <c r="F5" s="173"/>
      <c r="G5" s="55"/>
      <c r="H5" s="55"/>
      <c r="I5"/>
    </row>
    <row r="6" spans="1:9" s="52" customFormat="1" ht="14.45" customHeight="1" x14ac:dyDescent="0.25">
      <c r="A6" s="49"/>
      <c r="B6" s="90" t="s">
        <v>90</v>
      </c>
      <c r="C6" s="93" t="str">
        <f>'Scoring Summary'!C6</f>
        <v>&lt;Evaluator to complete&gt;</v>
      </c>
      <c r="D6" s="55"/>
      <c r="E6" s="55"/>
      <c r="F6" s="55"/>
      <c r="G6" s="55"/>
      <c r="H6" s="55"/>
      <c r="I6"/>
    </row>
    <row r="7" spans="1:9" s="52" customFormat="1" ht="32.450000000000003" customHeight="1" x14ac:dyDescent="0.25">
      <c r="A7" s="49"/>
      <c r="B7" s="90" t="s">
        <v>91</v>
      </c>
      <c r="C7" s="93"/>
      <c r="D7" s="55"/>
      <c r="E7" s="55"/>
      <c r="F7" s="55"/>
      <c r="G7" s="55"/>
      <c r="H7" s="55"/>
      <c r="I7"/>
    </row>
    <row r="8" spans="1:9" s="52" customFormat="1" ht="12" customHeight="1" thickBot="1" x14ac:dyDescent="0.25">
      <c r="A8" s="49"/>
      <c r="B8" s="57"/>
      <c r="C8" s="57"/>
      <c r="D8" s="57"/>
      <c r="E8" s="102"/>
      <c r="F8" s="118">
        <f>COUNTIF(Table1[Scoring],"Pass")/(COUNTA(Table1[Scoring])+COUNTBLANK(Table1[Scoring]))</f>
        <v>0</v>
      </c>
      <c r="H8" s="53"/>
    </row>
    <row r="9" spans="1:9" s="53" customFormat="1" ht="57" customHeight="1" x14ac:dyDescent="0.2">
      <c r="A9" s="103"/>
      <c r="B9" s="139" t="s">
        <v>533</v>
      </c>
      <c r="C9" s="140" t="s">
        <v>534</v>
      </c>
      <c r="D9" s="141" t="s">
        <v>535</v>
      </c>
      <c r="E9" s="142" t="s">
        <v>536</v>
      </c>
      <c r="F9" s="143" t="s">
        <v>537</v>
      </c>
      <c r="G9" s="144" t="s">
        <v>30</v>
      </c>
    </row>
    <row r="10" spans="1:9" s="53" customFormat="1" x14ac:dyDescent="0.2">
      <c r="A10" s="66">
        <v>1</v>
      </c>
      <c r="B10" s="104"/>
      <c r="C10" s="104"/>
      <c r="D10" s="105"/>
      <c r="E10" s="106"/>
      <c r="F10" s="107" t="s">
        <v>538</v>
      </c>
      <c r="G10" s="108"/>
    </row>
    <row r="11" spans="1:9" s="53" customFormat="1" x14ac:dyDescent="0.2">
      <c r="A11" s="66">
        <v>2</v>
      </c>
      <c r="B11" s="104"/>
      <c r="C11" s="104"/>
      <c r="D11" s="106"/>
      <c r="E11" s="106"/>
      <c r="F11" s="107" t="s">
        <v>538</v>
      </c>
      <c r="G11" s="108"/>
    </row>
    <row r="12" spans="1:9" s="53" customFormat="1" x14ac:dyDescent="0.2">
      <c r="A12" s="66">
        <v>3</v>
      </c>
      <c r="B12" s="104"/>
      <c r="C12" s="104"/>
      <c r="D12" s="106"/>
      <c r="E12" s="106"/>
      <c r="F12" s="107" t="s">
        <v>538</v>
      </c>
      <c r="G12" s="185"/>
    </row>
    <row r="13" spans="1:9" x14ac:dyDescent="0.25">
      <c r="A13" s="66">
        <v>4</v>
      </c>
      <c r="B13" s="186"/>
      <c r="C13" s="186"/>
      <c r="D13" s="179"/>
      <c r="E13" s="179"/>
      <c r="F13" s="180" t="s">
        <v>538</v>
      </c>
      <c r="G13" s="181"/>
    </row>
  </sheetData>
  <mergeCells count="1">
    <mergeCell ref="E2:F3"/>
  </mergeCells>
  <dataValidations count="1">
    <dataValidation type="list" allowBlank="1" showInputMessage="1" showErrorMessage="1" sqref="F10:F13" xr:uid="{21DF8596-6E9B-4AA7-A91A-7FD7C37A206D}">
      <formula1>"Pass,Fail"</formula1>
    </dataValidation>
  </dataValidations>
  <pageMargins left="0.7" right="0.7" top="0.75" bottom="0.75" header="0.3" footer="0.3"/>
  <pageSetup paperSize="9" scale="61" fitToHeight="0" orientation="landscape" r:id="rId1"/>
  <drawing r:id="rId2"/>
  <legacyDrawing r:id="rId3"/>
  <tableParts count="1">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7925-27A1-4E69-AA22-11FE9C045D19}">
  <dimension ref="A2:AI31"/>
  <sheetViews>
    <sheetView zoomScaleNormal="100" workbookViewId="0">
      <pane xSplit="1" ySplit="11" topLeftCell="B12" activePane="bottomRight" state="frozen"/>
      <selection pane="topRight" activeCell="B1" sqref="B1"/>
      <selection pane="bottomLeft" activeCell="A4" sqref="A4"/>
      <selection pane="bottomRight" activeCell="E8" sqref="E8"/>
    </sheetView>
  </sheetViews>
  <sheetFormatPr defaultColWidth="5.5703125" defaultRowHeight="12" x14ac:dyDescent="0.2"/>
  <cols>
    <col min="1" max="1" width="3" style="6" bestFit="1" customWidth="1"/>
    <col min="2" max="2" width="45" style="6" customWidth="1"/>
    <col min="3" max="3" width="38.8554687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19.42578125" style="6" bestFit="1" customWidth="1"/>
    <col min="10" max="10" width="8" style="6" customWidth="1"/>
    <col min="11" max="11" width="15.85546875" style="6" customWidth="1"/>
    <col min="12" max="12" width="7.85546875" style="45" bestFit="1" customWidth="1"/>
    <col min="13" max="13" width="19.7109375" style="6" bestFit="1" customWidth="1"/>
    <col min="14" max="14" width="6.5703125" style="46" hidden="1" customWidth="1"/>
    <col min="15" max="24" width="6.42578125" style="46" hidden="1" customWidth="1"/>
    <col min="25" max="25" width="8" style="6" hidden="1" customWidth="1"/>
    <col min="26" max="26" width="5.5703125" style="6" hidden="1" customWidth="1"/>
    <col min="27" max="32" width="6.140625" style="6" hidden="1" customWidth="1"/>
    <col min="33" max="35" width="5.5703125" style="6" hidden="1" customWidth="1"/>
    <col min="36" max="16384" width="5.5703125" style="6"/>
  </cols>
  <sheetData>
    <row r="2" spans="1:35" ht="15" x14ac:dyDescent="0.25">
      <c r="B2" s="90" t="s">
        <v>82</v>
      </c>
      <c r="C2" s="91" t="s">
        <v>83</v>
      </c>
      <c r="E2" s="312" t="s">
        <v>246</v>
      </c>
      <c r="F2" s="312"/>
    </row>
    <row r="3" spans="1:35" ht="15.75" customHeight="1" x14ac:dyDescent="0.25">
      <c r="B3" s="90" t="s">
        <v>84</v>
      </c>
      <c r="C3" s="91" t="s">
        <v>83</v>
      </c>
      <c r="E3" s="312"/>
      <c r="F3" s="312"/>
    </row>
    <row r="4" spans="1:35" ht="15.75" x14ac:dyDescent="0.25">
      <c r="B4" s="90" t="s">
        <v>86</v>
      </c>
      <c r="C4" s="93" t="s">
        <v>87</v>
      </c>
      <c r="D4" s="55"/>
      <c r="E4" s="92" t="s">
        <v>74</v>
      </c>
      <c r="F4" s="119"/>
    </row>
    <row r="5" spans="1:35" ht="15.75" x14ac:dyDescent="0.25">
      <c r="B5" s="90" t="s">
        <v>88</v>
      </c>
      <c r="C5" s="93" t="s">
        <v>87</v>
      </c>
      <c r="D5" s="55"/>
      <c r="E5" s="55"/>
    </row>
    <row r="6" spans="1:35" ht="15.75" x14ac:dyDescent="0.25">
      <c r="B6" s="90" t="s">
        <v>90</v>
      </c>
      <c r="C6" s="93" t="s">
        <v>87</v>
      </c>
      <c r="D6" s="55"/>
      <c r="E6" s="55"/>
    </row>
    <row r="7" spans="1:35" ht="42.75" customHeight="1" x14ac:dyDescent="0.25">
      <c r="B7" s="90" t="s">
        <v>91</v>
      </c>
      <c r="C7" s="93"/>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Summary'!C18</f>
        <v>0</v>
      </c>
      <c r="G11" s="48">
        <f>SUM(Table25[Priority])</f>
        <v>74</v>
      </c>
      <c r="H11" s="8">
        <f>SUM(Table25[Weight])</f>
        <v>0</v>
      </c>
      <c r="I11" s="7"/>
      <c r="J11" s="7"/>
      <c r="K11" s="9" t="s">
        <v>17</v>
      </c>
      <c r="L11" s="8">
        <f>SUM(Table25[Score])</f>
        <v>0</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11" t="s">
        <v>18</v>
      </c>
      <c r="B12" s="12" t="s">
        <v>19</v>
      </c>
      <c r="C12" s="13" t="s">
        <v>20</v>
      </c>
      <c r="D12" s="14" t="s">
        <v>21</v>
      </c>
      <c r="E12" s="14" t="s">
        <v>22</v>
      </c>
      <c r="F12" s="15" t="s">
        <v>23</v>
      </c>
      <c r="G12" s="16" t="s">
        <v>24</v>
      </c>
      <c r="H12" s="16" t="s">
        <v>25</v>
      </c>
      <c r="I12" s="15" t="s">
        <v>26</v>
      </c>
      <c r="J12" s="16" t="s">
        <v>27</v>
      </c>
      <c r="K12" s="15" t="s">
        <v>28</v>
      </c>
      <c r="L12" s="17" t="s">
        <v>29</v>
      </c>
      <c r="M12" s="15" t="s">
        <v>30</v>
      </c>
      <c r="N12" s="18" t="s">
        <v>31</v>
      </c>
      <c r="O12" s="18" t="s">
        <v>32</v>
      </c>
      <c r="P12" s="18" t="s">
        <v>33</v>
      </c>
      <c r="Q12" s="18" t="s">
        <v>34</v>
      </c>
      <c r="R12" s="18" t="s">
        <v>35</v>
      </c>
      <c r="S12" s="18" t="s">
        <v>36</v>
      </c>
      <c r="T12" s="18" t="s">
        <v>37</v>
      </c>
      <c r="U12" s="18" t="s">
        <v>38</v>
      </c>
      <c r="V12" s="18" t="s">
        <v>39</v>
      </c>
      <c r="W12" s="18" t="s">
        <v>40</v>
      </c>
      <c r="X12" s="18" t="s">
        <v>41</v>
      </c>
      <c r="Y12" s="19" t="s">
        <v>42</v>
      </c>
      <c r="Z12" s="19" t="s">
        <v>43</v>
      </c>
      <c r="AA12" s="19" t="s">
        <v>44</v>
      </c>
      <c r="AB12" s="19" t="s">
        <v>45</v>
      </c>
      <c r="AC12" s="19" t="s">
        <v>46</v>
      </c>
      <c r="AD12" s="19" t="s">
        <v>47</v>
      </c>
      <c r="AE12" s="19" t="s">
        <v>48</v>
      </c>
      <c r="AF12" s="19" t="s">
        <v>49</v>
      </c>
      <c r="AG12" s="19" t="s">
        <v>50</v>
      </c>
      <c r="AH12" s="19" t="s">
        <v>51</v>
      </c>
      <c r="AI12" s="19" t="s">
        <v>52</v>
      </c>
    </row>
    <row r="13" spans="1:35" ht="84" x14ac:dyDescent="0.2">
      <c r="A13" s="20">
        <v>1</v>
      </c>
      <c r="B13" s="21" t="s">
        <v>441</v>
      </c>
      <c r="C13" s="21" t="s">
        <v>442</v>
      </c>
      <c r="D13" s="21"/>
      <c r="E13" s="21" t="s">
        <v>55</v>
      </c>
      <c r="F13" s="22" t="s">
        <v>443</v>
      </c>
      <c r="G13" s="23" cm="1">
        <f t="array" ref="G13">_xlfn.IFS(F13="","",F13="No interest",0,F13="Nice to have",1,F13="Useful",2,F13="Important",3,F13="Very important",4,F13="Critical",5,F13="Show stopper",6)</f>
        <v>1</v>
      </c>
      <c r="H13" s="24">
        <f t="shared" ref="H13:H16" si="0">(G13/$G$11)*$F$11</f>
        <v>0</v>
      </c>
      <c r="I13" s="25" t="s">
        <v>444</v>
      </c>
      <c r="J13" s="25" t="str" cm="1">
        <f t="array" ref="J13">_xlfn.TEXTJOIN(" "&amp;CHAR(10),,TEXT(SUBSTITUTE(Table25[[#This Row],[12]:[22]],".",","),"0,00%"))</f>
        <v>0,00% 
0,00%</v>
      </c>
      <c r="K13" s="26" t="s">
        <v>445</v>
      </c>
      <c r="L13" s="27">
        <f>H13-(H13*((MATCH(Table25[[#This Row],[Evaluators Response (SELECT)]],Table25[[#This Row],[1]:[11]],0)-1)/(COUNTA(Table25[[#This Row],[1]:[11]])-COUNTBLANK(Table25[[#This Row],[1]:[11]])-1)))</f>
        <v>0</v>
      </c>
      <c r="M13" s="28"/>
      <c r="N13" s="29" t="str" cm="1">
        <f t="array" ref="N13">IFERROR(INDEX(_xlfn.UNIQUE(TRIM(_xlfn.TEXTSPLIT(Table25[[#This Row],[Selection Option]:[Selection Option]],","))),,N$11),"")</f>
        <v>Compatible</v>
      </c>
      <c r="O13" s="29" t="str" cm="1">
        <f t="array" ref="O13">IFERROR(INDEX(_xlfn.UNIQUE(TRIM(_xlfn.TEXTSPLIT(Table25[[#This Row],[Selection Option]:[Selection Option]],","))),,O$11),"")</f>
        <v xml:space="preserve">
Incompatible</v>
      </c>
      <c r="P13" s="29" t="str" cm="1">
        <f t="array" ref="P13">IFERROR(INDEX(_xlfn.UNIQUE(TRIM(_xlfn.TEXTSPLIT(Table25[[#This Row],[Selection Option]:[Selection Option]],","))),,P$11),"")</f>
        <v/>
      </c>
      <c r="Q13" s="29" t="str" cm="1">
        <f t="array" ref="Q13">IFERROR(INDEX(_xlfn.UNIQUE(TRIM(_xlfn.TEXTSPLIT(Table25[[#This Row],[Selection Option]:[Selection Option]],","))),,Q$11),"")</f>
        <v/>
      </c>
      <c r="R13" s="29" t="str" cm="1">
        <f t="array" ref="R13">IFERROR(INDEX(_xlfn.UNIQUE(TRIM(_xlfn.TEXTSPLIT(Table25[[#This Row],[Selection Option]:[Selection Option]],","))),,R$11),"")</f>
        <v/>
      </c>
      <c r="S13" s="29" t="str" cm="1">
        <f t="array" ref="S13">IFERROR(INDEX(_xlfn.UNIQUE(TRIM(_xlfn.TEXTSPLIT(Table25[[#This Row],[Selection Option]:[Selection Option]],","))),,S$11),"")</f>
        <v/>
      </c>
      <c r="T13" s="29" t="str" cm="1">
        <f t="array" ref="T13">IFERROR(INDEX(_xlfn.UNIQUE(TRIM(_xlfn.TEXTSPLIT(Table25[[#This Row],[Selection Option]:[Selection Option]],","))),,T$11),"")</f>
        <v/>
      </c>
      <c r="U13" s="29" t="str" cm="1">
        <f t="array" ref="U13">IFERROR(INDEX(_xlfn.UNIQUE(TRIM(_xlfn.TEXTSPLIT(Table25[[#This Row],[Selection Option]:[Selection Option]],","))),,U$11),"")</f>
        <v/>
      </c>
      <c r="V13" s="29" t="str" cm="1">
        <f t="array" ref="V13">IFERROR(INDEX(_xlfn.UNIQUE(TRIM(_xlfn.TEXTSPLIT(Table25[[#This Row],[Selection Option]:[Selection Option]],","))),,V$11),"")</f>
        <v/>
      </c>
      <c r="W13" s="29" t="str" cm="1">
        <f t="array" ref="W13">IFERROR(INDEX(_xlfn.UNIQUE(TRIM(_xlfn.TEXTSPLIT(Table25[[#This Row],[Selection Option]:[Selection Option]],","))),,W$11),"")</f>
        <v/>
      </c>
      <c r="X13" s="29" t="str" cm="1">
        <f t="array" ref="X13">IFERROR(INDEX(_xlfn.UNIQUE(TRIM(_xlfn.TEXTSPLIT(Table25[[#This Row],[Selection Option]:[Selection Option]],","))),,X$11),"")</f>
        <v/>
      </c>
      <c r="Y13" s="30" cm="1">
        <f t="array" ref="Y13">IF(Table25[[#This Row],[1]]="","",Table25[[#This Row],[Weight]:[Weight]]-(Table25[[#This Row],[Weight]:[Weight]]*((_xlfn.XMATCH(Table25[[#This Row],[1]],Table25[[#This Row],[1]:[11]],0))-1)/(COUNTA(Table25[[#This Row],[1]:[11]])-COUNTBLANK(Table25[[#This Row],[1]:[11]])-1)))</f>
        <v>0</v>
      </c>
      <c r="Z13" s="30" cm="1">
        <f t="array" ref="Z13">IF(Table25[[#This Row],[2]]="","",Table25[[#This Row],[Weight]:[Weight]]-(Table25[[#This Row],[Weight]:[Weight]]*((_xlfn.XMATCH(Table25[[#This Row],[2]],Table25[[#This Row],[1]:[11]],0))-1)/(COUNTA(Table25[[#This Row],[1]:[11]])-COUNTBLANK(Table25[[#This Row],[1]:[11]])-1)))</f>
        <v>0</v>
      </c>
      <c r="AA13" s="30" t="str" cm="1">
        <f t="array" ref="AA13">IF(Table25[[#This Row],[3]]="","",Table25[[#This Row],[Weight]:[Weight]]-(Table25[[#This Row],[Weight]:[Weight]]*((_xlfn.XMATCH(Table25[[#This Row],[3]],Table25[[#This Row],[1]:[11]],0))-1)/(COUNTA(Table25[[#This Row],[1]:[11]])-COUNTBLANK(Table25[[#This Row],[1]:[11]])-1)))</f>
        <v/>
      </c>
      <c r="AB13" s="30" t="str" cm="1">
        <f t="array" ref="AB13">IF(Table25[[#This Row],[4]]="","",Table25[[#This Row],[Weight]:[Weight]]-(Table25[[#This Row],[Weight]:[Weight]]*((_xlfn.XMATCH(Table25[[#This Row],[4]],Table25[[#This Row],[1]:[11]],0))-1)/(COUNTA(Table25[[#This Row],[1]:[11]])-COUNTBLANK(Table25[[#This Row],[1]:[11]])-1)))</f>
        <v/>
      </c>
      <c r="AC13" s="30" t="str" cm="1">
        <f t="array" ref="AC13">IF(Table25[[#This Row],[5]]="","",Table25[[#This Row],[Weight]:[Weight]]-(Table25[[#This Row],[Weight]:[Weight]]*((_xlfn.XMATCH(Table25[[#This Row],[5]],Table25[[#This Row],[1]:[11]],0))-1)/(COUNTA(Table25[[#This Row],[1]:[11]])-COUNTBLANK(Table25[[#This Row],[1]:[11]])-1)))</f>
        <v/>
      </c>
      <c r="AD13" s="30" t="str" cm="1">
        <f t="array" ref="AD13">IF(Table25[[#This Row],[6]]="","",Table25[[#This Row],[Weight]:[Weight]]-(Table25[[#This Row],[Weight]:[Weight]]*((_xlfn.XMATCH(Table25[[#This Row],[6]],Table25[[#This Row],[1]:[11]],0))-1)/(COUNTA(Table25[[#This Row],[1]:[11]])-COUNTBLANK(Table25[[#This Row],[1]:[11]])-1)))</f>
        <v/>
      </c>
      <c r="AE13" s="30" t="str" cm="1">
        <f t="array" ref="AE13">IF(Table25[[#This Row],[7]]="","",Table25[[#This Row],[Weight]:[Weight]]-(Table25[[#This Row],[Weight]:[Weight]]*((_xlfn.XMATCH(Table25[[#This Row],[7]],Table25[[#This Row],[1]:[11]],0))-1)/(COUNTA(Table25[[#This Row],[1]:[11]])-COUNTBLANK(Table25[[#This Row],[1]:[11]])-1)))</f>
        <v/>
      </c>
      <c r="AF13" s="30" t="str" cm="1">
        <f t="array" ref="AF13">IF(Table25[[#This Row],[8]]="","",Table25[[#This Row],[Weight]:[Weight]]-(Table25[[#This Row],[Weight]:[Weight]]*((_xlfn.XMATCH(Table25[[#This Row],[8]],Table25[[#This Row],[1]:[11]],0))-1)/(COUNTA(Table25[[#This Row],[1]:[11]])-COUNTBLANK(Table25[[#This Row],[1]:[11]])-1)))</f>
        <v/>
      </c>
      <c r="AG13" s="30" t="str" cm="1">
        <f t="array" ref="AG13">IF(Table25[[#This Row],[9]]="","",Table25[[#This Row],[Weight]:[Weight]]-(Table25[[#This Row],[Weight]:[Weight]]*((_xlfn.XMATCH(Table25[[#This Row],[9]],Table25[[#This Row],[1]:[11]],0))-1)/(COUNTA(Table25[[#This Row],[1]:[11]])-COUNTBLANK(Table25[[#This Row],[1]:[11]])-1)))</f>
        <v/>
      </c>
      <c r="AH13" s="30" t="str" cm="1">
        <f t="array" ref="AH13">IF(Table25[[#This Row],[10]]="","",Table25[[#This Row],[Weight]:[Weight]]-(Table25[[#This Row],[Weight]:[Weight]]*((_xlfn.XMATCH(Table25[[#This Row],[10]],Table25[[#This Row],[1]:[11]],0))-1)/(COUNTA(Table25[[#This Row],[1]:[11]])-COUNTBLANK(Table25[[#This Row],[1]:[11]])-1)))</f>
        <v/>
      </c>
      <c r="AI13" s="30" t="str" cm="1">
        <f t="array" ref="AI13">IF(Table25[[#This Row],[11]]="","",Table25[[#This Row],[Weight]:[Weight]]-(Table25[[#This Row],[Weight]:[Weight]]*((_xlfn.XMATCH(Table25[[#This Row],[11]],Table25[[#This Row],[1]:[11]],0))-1)/(COUNTA(Table25[[#This Row],[1]:[11]])-COUNTBLANK(Table25[[#This Row],[1]:[11]])-1)))</f>
        <v/>
      </c>
    </row>
    <row r="14" spans="1:35" ht="33" customHeight="1" x14ac:dyDescent="0.2">
      <c r="A14" s="20">
        <v>2</v>
      </c>
      <c r="B14" s="31"/>
      <c r="C14" s="31" t="s">
        <v>59</v>
      </c>
      <c r="D14" s="31"/>
      <c r="E14" s="31"/>
      <c r="F14" s="22" t="s">
        <v>106</v>
      </c>
      <c r="G14" s="23" cm="1">
        <f t="array" ref="G14">_xlfn.IFS(F14="","",F14="No interest",0,F14="Nice to have",1,F14="Useful",2,F14="Important",3,F14="Very important",4,F14="Critical",5,F14="Show stopper",6)</f>
        <v>5</v>
      </c>
      <c r="H14" s="24">
        <f t="shared" si="0"/>
        <v>0</v>
      </c>
      <c r="I14" s="25" t="s">
        <v>61</v>
      </c>
      <c r="J14" s="25" t="str" cm="1">
        <f t="array" ref="J14">_xlfn.TEXTJOIN(" "&amp;CHAR(10),,TEXT(SUBSTITUTE(Table25[[#This Row],[12]:[22]],".",","),"0,00%"))</f>
        <v>0,00% 
0,00% 
0,00% 
0,00%</v>
      </c>
      <c r="K14" s="26" t="s">
        <v>62</v>
      </c>
      <c r="L14" s="27">
        <f>H14-(H14*((MATCH(Table25[[#This Row],[Evaluators Response (SELECT)]],Table25[[#This Row],[1]:[11]],0)-1)/(COUNTA(Table25[[#This Row],[1]:[11]])-COUNTBLANK(Table25[[#This Row],[1]:[11]])-1)))</f>
        <v>0</v>
      </c>
      <c r="M14" s="28"/>
      <c r="N14" s="29" t="str" cm="1">
        <f t="array" ref="N14">IFERROR(INDEX(_xlfn.UNIQUE(TRIM(_xlfn.TEXTSPLIT(Table25[[#This Row],[Selection Option]:[Selection Option]],","))),,N$11),"")</f>
        <v>abc</v>
      </c>
      <c r="O14" s="29" t="str" cm="1">
        <f t="array" ref="O14">IFERROR(INDEX(_xlfn.UNIQUE(TRIM(_xlfn.TEXTSPLIT(Table25[[#This Row],[Selection Option]:[Selection Option]],","))),,O$11),"")</f>
        <v xml:space="preserve">
klm</v>
      </c>
      <c r="P14" s="29" t="str" cm="1">
        <f t="array" ref="P14">IFERROR(INDEX(_xlfn.UNIQUE(TRIM(_xlfn.TEXTSPLIT(Table25[[#This Row],[Selection Option]:[Selection Option]],","))),,P$11),"")</f>
        <v xml:space="preserve">
pqr</v>
      </c>
      <c r="Q14" s="29" t="str" cm="1">
        <f t="array" ref="Q14">IFERROR(INDEX(_xlfn.UNIQUE(TRIM(_xlfn.TEXTSPLIT(Table25[[#This Row],[Selection Option]:[Selection Option]],","))),,Q$11),"")</f>
        <v xml:space="preserve">
xyz</v>
      </c>
      <c r="R14" s="29" t="str" cm="1">
        <f t="array" ref="R14">IFERROR(INDEX(_xlfn.UNIQUE(TRIM(_xlfn.TEXTSPLIT(Table25[[#This Row],[Selection Option]:[Selection Option]],","))),,R$11),"")</f>
        <v/>
      </c>
      <c r="S14" s="29" t="str" cm="1">
        <f t="array" ref="S14">IFERROR(INDEX(_xlfn.UNIQUE(TRIM(_xlfn.TEXTSPLIT(Table25[[#This Row],[Selection Option]:[Selection Option]],","))),,S$11),"")</f>
        <v/>
      </c>
      <c r="T14" s="29" t="str" cm="1">
        <f t="array" ref="T14">IFERROR(INDEX(_xlfn.UNIQUE(TRIM(_xlfn.TEXTSPLIT(Table25[[#This Row],[Selection Option]:[Selection Option]],","))),,T$11),"")</f>
        <v/>
      </c>
      <c r="U14" s="29" t="str" cm="1">
        <f t="array" ref="U14">IFERROR(INDEX(_xlfn.UNIQUE(TRIM(_xlfn.TEXTSPLIT(Table25[[#This Row],[Selection Option]:[Selection Option]],","))),,U$11),"")</f>
        <v/>
      </c>
      <c r="V14" s="29" t="str" cm="1">
        <f t="array" ref="V14">IFERROR(INDEX(_xlfn.UNIQUE(TRIM(_xlfn.TEXTSPLIT(Table25[[#This Row],[Selection Option]:[Selection Option]],","))),,V$11),"")</f>
        <v/>
      </c>
      <c r="W14" s="29" t="str" cm="1">
        <f t="array" ref="W14">IFERROR(INDEX(_xlfn.UNIQUE(TRIM(_xlfn.TEXTSPLIT(Table25[[#This Row],[Selection Option]:[Selection Option]],","))),,W$11),"")</f>
        <v/>
      </c>
      <c r="X14" s="29" t="str" cm="1">
        <f t="array" ref="X14">IFERROR(INDEX(_xlfn.UNIQUE(TRIM(_xlfn.TEXTSPLIT(Table25[[#This Row],[Selection Option]:[Selection Option]],","))),,X$11),"")</f>
        <v/>
      </c>
      <c r="Y14" s="30" cm="1">
        <f t="array" ref="Y14">IF(Table25[[#This Row],[1]]="","",Table25[[#This Row],[Weight]:[Weight]]-(Table25[[#This Row],[Weight]:[Weight]]*((_xlfn.XMATCH(Table25[[#This Row],[1]],Table25[[#This Row],[1]:[11]],0))-1)/(COUNTA(Table25[[#This Row],[1]:[11]])-COUNTBLANK(Table25[[#This Row],[1]:[11]])-1)))</f>
        <v>0</v>
      </c>
      <c r="Z14" s="30" cm="1">
        <f t="array" ref="Z14">IF(Table25[[#This Row],[2]]="","",Table25[[#This Row],[Weight]:[Weight]]-(Table25[[#This Row],[Weight]:[Weight]]*((_xlfn.XMATCH(Table25[[#This Row],[2]],Table25[[#This Row],[1]:[11]],0))-1)/(COUNTA(Table25[[#This Row],[1]:[11]])-COUNTBLANK(Table25[[#This Row],[1]:[11]])-1)))</f>
        <v>0</v>
      </c>
      <c r="AA14" s="30" cm="1">
        <f t="array" ref="AA14">IF(Table25[[#This Row],[3]]="","",Table25[[#This Row],[Weight]:[Weight]]-(Table25[[#This Row],[Weight]:[Weight]]*((_xlfn.XMATCH(Table25[[#This Row],[3]],Table25[[#This Row],[1]:[11]],0))-1)/(COUNTA(Table25[[#This Row],[1]:[11]])-COUNTBLANK(Table25[[#This Row],[1]:[11]])-1)))</f>
        <v>0</v>
      </c>
      <c r="AB14" s="30" cm="1">
        <f t="array" ref="AB14">IF(Table25[[#This Row],[4]]="","",Table25[[#This Row],[Weight]:[Weight]]-(Table25[[#This Row],[Weight]:[Weight]]*((_xlfn.XMATCH(Table25[[#This Row],[4]],Table25[[#This Row],[1]:[11]],0))-1)/(COUNTA(Table25[[#This Row],[1]:[11]])-COUNTBLANK(Table25[[#This Row],[1]:[11]])-1)))</f>
        <v>0</v>
      </c>
      <c r="AC14" s="30" t="str" cm="1">
        <f t="array" ref="AC14">IF(Table25[[#This Row],[5]]="","",Table25[[#This Row],[Weight]:[Weight]]-(Table25[[#This Row],[Weight]:[Weight]]*((_xlfn.XMATCH(Table25[[#This Row],[5]],Table25[[#This Row],[1]:[11]],0))-1)/(COUNTA(Table25[[#This Row],[1]:[11]])-COUNTBLANK(Table25[[#This Row],[1]:[11]])-1)))</f>
        <v/>
      </c>
      <c r="AD14" s="30" t="str" cm="1">
        <f t="array" ref="AD14">IF(Table25[[#This Row],[6]]="","",Table25[[#This Row],[Weight]:[Weight]]-(Table25[[#This Row],[Weight]:[Weight]]*((_xlfn.XMATCH(Table25[[#This Row],[6]],Table25[[#This Row],[1]:[11]],0))-1)/(COUNTA(Table25[[#This Row],[1]:[11]])-COUNTBLANK(Table25[[#This Row],[1]:[11]])-1)))</f>
        <v/>
      </c>
      <c r="AE14" s="30" t="str" cm="1">
        <f t="array" ref="AE14">IF(Table25[[#This Row],[7]]="","",Table25[[#This Row],[Weight]:[Weight]]-(Table25[[#This Row],[Weight]:[Weight]]*((_xlfn.XMATCH(Table25[[#This Row],[7]],Table25[[#This Row],[1]:[11]],0))-1)/(COUNTA(Table25[[#This Row],[1]:[11]])-COUNTBLANK(Table25[[#This Row],[1]:[11]])-1)))</f>
        <v/>
      </c>
      <c r="AF14" s="30" t="str" cm="1">
        <f t="array" ref="AF14">IF(Table25[[#This Row],[8]]="","",Table25[[#This Row],[Weight]:[Weight]]-(Table25[[#This Row],[Weight]:[Weight]]*((_xlfn.XMATCH(Table25[[#This Row],[8]],Table25[[#This Row],[1]:[11]],0))-1)/(COUNTA(Table25[[#This Row],[1]:[11]])-COUNTBLANK(Table25[[#This Row],[1]:[11]])-1)))</f>
        <v/>
      </c>
      <c r="AG14" s="30" t="str" cm="1">
        <f t="array" ref="AG14">IF(Table25[[#This Row],[9]]="","",Table25[[#This Row],[Weight]:[Weight]]-(Table25[[#This Row],[Weight]:[Weight]]*((_xlfn.XMATCH(Table25[[#This Row],[9]],Table25[[#This Row],[1]:[11]],0))-1)/(COUNTA(Table25[[#This Row],[1]:[11]])-COUNTBLANK(Table25[[#This Row],[1]:[11]])-1)))</f>
        <v/>
      </c>
      <c r="AH14" s="30" t="str" cm="1">
        <f t="array" ref="AH14">IF(Table25[[#This Row],[10]]="","",Table25[[#This Row],[Weight]:[Weight]]-(Table25[[#This Row],[Weight]:[Weight]]*((_xlfn.XMATCH(Table25[[#This Row],[10]],Table25[[#This Row],[1]:[11]],0))-1)/(COUNTA(Table25[[#This Row],[1]:[11]])-COUNTBLANK(Table25[[#This Row],[1]:[11]])-1)))</f>
        <v/>
      </c>
      <c r="AI14" s="30" t="str" cm="1">
        <f t="array" ref="AI14">IF(Table25[[#This Row],[11]]="","",Table25[[#This Row],[Weight]:[Weight]]-(Table25[[#This Row],[Weight]:[Weight]]*((_xlfn.XMATCH(Table25[[#This Row],[11]],Table25[[#This Row],[1]:[11]],0))-1)/(COUNTA(Table25[[#This Row],[1]:[11]])-COUNTBLANK(Table25[[#This Row],[1]:[11]])-1)))</f>
        <v/>
      </c>
    </row>
    <row r="15" spans="1:35" ht="33" customHeight="1" x14ac:dyDescent="0.2">
      <c r="A15" s="32">
        <v>3</v>
      </c>
      <c r="B15" s="33"/>
      <c r="C15" s="33" t="s">
        <v>539</v>
      </c>
      <c r="D15" s="33"/>
      <c r="E15" s="33"/>
      <c r="F15" s="34" t="s">
        <v>106</v>
      </c>
      <c r="G15" s="35" cm="1">
        <f t="array" ref="G15">_xlfn.IFS(F15="","",F15="No interest",0,F15="Nice to have",1,F15="Useful",2,F15="Important",3,F15="Very important",4,F15="Critical",5,F15="Show stopper",6)</f>
        <v>5</v>
      </c>
      <c r="H15" s="36">
        <f t="shared" si="0"/>
        <v>0</v>
      </c>
      <c r="I15" s="37" t="s">
        <v>540</v>
      </c>
      <c r="J15" s="37" t="str" cm="1">
        <f t="array" ref="J15">_xlfn.TEXTJOIN(" "&amp;CHAR(10),,TEXT(SUBSTITUTE(Table25[[#This Row],[12]:[22]],".",","),"0,00%"))</f>
        <v>0,00% 
0,00% 
0,00%</v>
      </c>
      <c r="K15" s="38" t="s">
        <v>541</v>
      </c>
      <c r="L15" s="39">
        <f>H15-(H15*((MATCH(Table25[[#This Row],[Evaluators Response (SELECT)]],Table25[[#This Row],[1]:[11]],0)-1)/(COUNTA(Table25[[#This Row],[1]:[11]])-COUNTBLANK(Table25[[#This Row],[1]:[11]])-1)))</f>
        <v>0</v>
      </c>
      <c r="M15" s="40"/>
      <c r="N15" s="29" t="str" cm="1">
        <f t="array" ref="N15">IFERROR(INDEX(_xlfn.UNIQUE(TRIM(_xlfn.TEXTSPLIT(Table25[[#This Row],[Selection Option]:[Selection Option]],","))),,N$11),"")</f>
        <v>10 or more clients</v>
      </c>
      <c r="O15" s="29" t="str" cm="1">
        <f t="array" ref="O15">IFERROR(INDEX(_xlfn.UNIQUE(TRIM(_xlfn.TEXTSPLIT(Table25[[#This Row],[Selection Option]:[Selection Option]],","))),,O$11),"")</f>
        <v xml:space="preserve">
4-7 clients</v>
      </c>
      <c r="P15" s="29" t="str" cm="1">
        <f t="array" ref="P15">IFERROR(INDEX(_xlfn.UNIQUE(TRIM(_xlfn.TEXTSPLIT(Table25[[#This Row],[Selection Option]:[Selection Option]],","))),,P$11),"")</f>
        <v xml:space="preserve">
3 or less clients.</v>
      </c>
      <c r="Q15" s="29" t="str" cm="1">
        <f t="array" ref="Q15">IFERROR(INDEX(_xlfn.UNIQUE(TRIM(_xlfn.TEXTSPLIT(Table25[[#This Row],[Selection Option]:[Selection Option]],","))),,Q$11),"")</f>
        <v/>
      </c>
      <c r="R15" s="29" t="str" cm="1">
        <f t="array" ref="R15">IFERROR(INDEX(_xlfn.UNIQUE(TRIM(_xlfn.TEXTSPLIT(Table25[[#This Row],[Selection Option]:[Selection Option]],","))),,R$11),"")</f>
        <v/>
      </c>
      <c r="S15" s="29" t="str" cm="1">
        <f t="array" ref="S15">IFERROR(INDEX(_xlfn.UNIQUE(TRIM(_xlfn.TEXTSPLIT(Table25[[#This Row],[Selection Option]:[Selection Option]],","))),,S$11),"")</f>
        <v/>
      </c>
      <c r="T15" s="29" t="str" cm="1">
        <f t="array" ref="T15">IFERROR(INDEX(_xlfn.UNIQUE(TRIM(_xlfn.TEXTSPLIT(Table25[[#This Row],[Selection Option]:[Selection Option]],","))),,T$11),"")</f>
        <v/>
      </c>
      <c r="U15" s="29" t="str" cm="1">
        <f t="array" ref="U15">IFERROR(INDEX(_xlfn.UNIQUE(TRIM(_xlfn.TEXTSPLIT(Table25[[#This Row],[Selection Option]:[Selection Option]],","))),,U$11),"")</f>
        <v/>
      </c>
      <c r="V15" s="29" t="str" cm="1">
        <f t="array" ref="V15">IFERROR(INDEX(_xlfn.UNIQUE(TRIM(_xlfn.TEXTSPLIT(Table25[[#This Row],[Selection Option]:[Selection Option]],","))),,V$11),"")</f>
        <v/>
      </c>
      <c r="W15" s="29" t="str" cm="1">
        <f t="array" ref="W15">IFERROR(INDEX(_xlfn.UNIQUE(TRIM(_xlfn.TEXTSPLIT(Table25[[#This Row],[Selection Option]:[Selection Option]],","))),,W$11),"")</f>
        <v/>
      </c>
      <c r="X15" s="29" t="str" cm="1">
        <f t="array" ref="X15">IFERROR(INDEX(_xlfn.UNIQUE(TRIM(_xlfn.TEXTSPLIT(Table25[[#This Row],[Selection Option]:[Selection Option]],","))),,X$11),"")</f>
        <v/>
      </c>
      <c r="Y15" s="30" cm="1">
        <f t="array" ref="Y15">IF(Table25[[#This Row],[1]]="","",Table25[[#This Row],[Weight]:[Weight]]-(Table25[[#This Row],[Weight]:[Weight]]*((_xlfn.XMATCH(Table25[[#This Row],[1]],Table25[[#This Row],[1]:[11]],0))-1)/(COUNTA(Table25[[#This Row],[1]:[11]])-COUNTBLANK(Table25[[#This Row],[1]:[11]])-1)))</f>
        <v>0</v>
      </c>
      <c r="Z15" s="30" cm="1">
        <f t="array" ref="Z15">IF(Table25[[#This Row],[2]]="","",Table25[[#This Row],[Weight]:[Weight]]-(Table25[[#This Row],[Weight]:[Weight]]*((_xlfn.XMATCH(Table25[[#This Row],[2]],Table25[[#This Row],[1]:[11]],0))-1)/(COUNTA(Table25[[#This Row],[1]:[11]])-COUNTBLANK(Table25[[#This Row],[1]:[11]])-1)))</f>
        <v>0</v>
      </c>
      <c r="AA15" s="30" cm="1">
        <f t="array" ref="AA15">IF(Table25[[#This Row],[3]]="","",Table25[[#This Row],[Weight]:[Weight]]-(Table25[[#This Row],[Weight]:[Weight]]*((_xlfn.XMATCH(Table25[[#This Row],[3]],Table25[[#This Row],[1]:[11]],0))-1)/(COUNTA(Table25[[#This Row],[1]:[11]])-COUNTBLANK(Table25[[#This Row],[1]:[11]])-1)))</f>
        <v>0</v>
      </c>
      <c r="AB15" s="30" t="str" cm="1">
        <f t="array" ref="AB15">IF(Table25[[#This Row],[4]]="","",Table25[[#This Row],[Weight]:[Weight]]-(Table25[[#This Row],[Weight]:[Weight]]*((_xlfn.XMATCH(Table25[[#This Row],[4]],Table25[[#This Row],[1]:[11]],0))-1)/(COUNTA(Table25[[#This Row],[1]:[11]])-COUNTBLANK(Table25[[#This Row],[1]:[11]])-1)))</f>
        <v/>
      </c>
      <c r="AC15" s="30" t="str" cm="1">
        <f t="array" ref="AC15">IF(Table25[[#This Row],[5]]="","",Table25[[#This Row],[Weight]:[Weight]]-(Table25[[#This Row],[Weight]:[Weight]]*((_xlfn.XMATCH(Table25[[#This Row],[5]],Table25[[#This Row],[1]:[11]],0))-1)/(COUNTA(Table25[[#This Row],[1]:[11]])-COUNTBLANK(Table25[[#This Row],[1]:[11]])-1)))</f>
        <v/>
      </c>
      <c r="AD15" s="30" t="str" cm="1">
        <f t="array" ref="AD15">IF(Table25[[#This Row],[6]]="","",Table25[[#This Row],[Weight]:[Weight]]-(Table25[[#This Row],[Weight]:[Weight]]*((_xlfn.XMATCH(Table25[[#This Row],[6]],Table25[[#This Row],[1]:[11]],0))-1)/(COUNTA(Table25[[#This Row],[1]:[11]])-COUNTBLANK(Table25[[#This Row],[1]:[11]])-1)))</f>
        <v/>
      </c>
      <c r="AE15" s="30" t="str" cm="1">
        <f t="array" ref="AE15">IF(Table25[[#This Row],[7]]="","",Table25[[#This Row],[Weight]:[Weight]]-(Table25[[#This Row],[Weight]:[Weight]]*((_xlfn.XMATCH(Table25[[#This Row],[7]],Table25[[#This Row],[1]:[11]],0))-1)/(COUNTA(Table25[[#This Row],[1]:[11]])-COUNTBLANK(Table25[[#This Row],[1]:[11]])-1)))</f>
        <v/>
      </c>
      <c r="AF15" s="30" t="str" cm="1">
        <f t="array" ref="AF15">IF(Table25[[#This Row],[8]]="","",Table25[[#This Row],[Weight]:[Weight]]-(Table25[[#This Row],[Weight]:[Weight]]*((_xlfn.XMATCH(Table25[[#This Row],[8]],Table25[[#This Row],[1]:[11]],0))-1)/(COUNTA(Table25[[#This Row],[1]:[11]])-COUNTBLANK(Table25[[#This Row],[1]:[11]])-1)))</f>
        <v/>
      </c>
      <c r="AG15" s="30" t="str" cm="1">
        <f t="array" ref="AG15">IF(Table25[[#This Row],[9]]="","",Table25[[#This Row],[Weight]:[Weight]]-(Table25[[#This Row],[Weight]:[Weight]]*((_xlfn.XMATCH(Table25[[#This Row],[9]],Table25[[#This Row],[1]:[11]],0))-1)/(COUNTA(Table25[[#This Row],[1]:[11]])-COUNTBLANK(Table25[[#This Row],[1]:[11]])-1)))</f>
        <v/>
      </c>
      <c r="AH15" s="30" t="str" cm="1">
        <f t="array" ref="AH15">IF(Table25[[#This Row],[10]]="","",Table25[[#This Row],[Weight]:[Weight]]-(Table25[[#This Row],[Weight]:[Weight]]*((_xlfn.XMATCH(Table25[[#This Row],[10]],Table25[[#This Row],[1]:[11]],0))-1)/(COUNTA(Table25[[#This Row],[1]:[11]])-COUNTBLANK(Table25[[#This Row],[1]:[11]])-1)))</f>
        <v/>
      </c>
      <c r="AI15" s="30" t="str" cm="1">
        <f t="array" ref="AI15">IF(Table25[[#This Row],[11]]="","",Table25[[#This Row],[Weight]:[Weight]]-(Table25[[#This Row],[Weight]:[Weight]]*((_xlfn.XMATCH(Table25[[#This Row],[11]],Table25[[#This Row],[1]:[11]],0))-1)/(COUNTA(Table25[[#This Row],[1]:[11]])-COUNTBLANK(Table25[[#This Row],[1]:[11]])-1)))</f>
        <v/>
      </c>
    </row>
    <row r="16" spans="1:35" ht="24" x14ac:dyDescent="0.2">
      <c r="A16" s="20"/>
      <c r="B16" s="31" t="s">
        <v>542</v>
      </c>
      <c r="C16" s="31" t="s">
        <v>539</v>
      </c>
      <c r="D16" s="31" t="s">
        <v>543</v>
      </c>
      <c r="E16" s="31" t="s">
        <v>544</v>
      </c>
      <c r="F16" s="22" t="s">
        <v>271</v>
      </c>
      <c r="G16" s="23" cm="1">
        <f t="array" ref="G16">_xlfn.IFS(F16="","",F16="No interest",0,F16="Nice to have",1,F16="Useful",2,F16="Important",3,F16="Very important",4,F16="Critical",5,F16="Show stopper",6)</f>
        <v>2</v>
      </c>
      <c r="H16" s="24">
        <f t="shared" si="0"/>
        <v>0</v>
      </c>
      <c r="I16" s="25" t="s">
        <v>545</v>
      </c>
      <c r="J16" s="25" t="str" cm="1">
        <f t="array" ref="J16">_xlfn.TEXTJOIN(" "&amp;CHAR(10),,TEXT(SUBSTITUTE(Table25[[#This Row],[12]:[22]],".",","),"0,00%"))</f>
        <v>0,00% 
0,00%</v>
      </c>
      <c r="K16" s="26" t="s">
        <v>546</v>
      </c>
      <c r="L16" s="27">
        <f>H16-(H16*((MATCH(Table25[[#This Row],[Evaluators Response (SELECT)]],Table25[[#This Row],[1]:[11]],0)-1)/(COUNTA(Table25[[#This Row],[1]:[11]])-COUNTBLANK(Table25[[#This Row],[1]:[11]])-1)))</f>
        <v>0</v>
      </c>
      <c r="M16" s="28"/>
      <c r="N16" s="29" t="str" cm="1">
        <f t="array" ref="N16">IFERROR(INDEX(_xlfn.UNIQUE(TRIM(_xlfn.TEXTSPLIT(Table25[[#This Row],[Selection Option]:[Selection Option]],","))),,N$11),"")</f>
        <v>Yes</v>
      </c>
      <c r="O16" s="29" t="str" cm="1">
        <f t="array" ref="O16">IFERROR(INDEX(_xlfn.UNIQUE(TRIM(_xlfn.TEXTSPLIT(Table25[[#This Row],[Selection Option]:[Selection Option]],","))),,O$11),"")</f>
        <v xml:space="preserve">
No</v>
      </c>
      <c r="P16" s="29" t="str" cm="1">
        <f t="array" ref="P16">IFERROR(INDEX(_xlfn.UNIQUE(TRIM(_xlfn.TEXTSPLIT(Table25[[#This Row],[Selection Option]:[Selection Option]],","))),,P$11),"")</f>
        <v/>
      </c>
      <c r="Q16" s="29" t="str" cm="1">
        <f t="array" ref="Q16">IFERROR(INDEX(_xlfn.UNIQUE(TRIM(_xlfn.TEXTSPLIT(Table25[[#This Row],[Selection Option]:[Selection Option]],","))),,Q$11),"")</f>
        <v/>
      </c>
      <c r="R16" s="29" t="str" cm="1">
        <f t="array" ref="R16">IFERROR(INDEX(_xlfn.UNIQUE(TRIM(_xlfn.TEXTSPLIT(Table25[[#This Row],[Selection Option]:[Selection Option]],","))),,R$11),"")</f>
        <v/>
      </c>
      <c r="S16" s="29" t="str" cm="1">
        <f t="array" ref="S16">IFERROR(INDEX(_xlfn.UNIQUE(TRIM(_xlfn.TEXTSPLIT(Table25[[#This Row],[Selection Option]:[Selection Option]],","))),,S$11),"")</f>
        <v/>
      </c>
      <c r="T16" s="29" t="str" cm="1">
        <f t="array" ref="T16">IFERROR(INDEX(_xlfn.UNIQUE(TRIM(_xlfn.TEXTSPLIT(Table25[[#This Row],[Selection Option]:[Selection Option]],","))),,T$11),"")</f>
        <v/>
      </c>
      <c r="U16" s="29" t="str" cm="1">
        <f t="array" ref="U16">IFERROR(INDEX(_xlfn.UNIQUE(TRIM(_xlfn.TEXTSPLIT(Table25[[#This Row],[Selection Option]:[Selection Option]],","))),,U$11),"")</f>
        <v/>
      </c>
      <c r="V16" s="29" t="str" cm="1">
        <f t="array" ref="V16">IFERROR(INDEX(_xlfn.UNIQUE(TRIM(_xlfn.TEXTSPLIT(Table25[[#This Row],[Selection Option]:[Selection Option]],","))),,V$11),"")</f>
        <v/>
      </c>
      <c r="W16" s="29" t="str" cm="1">
        <f t="array" ref="W16">IFERROR(INDEX(_xlfn.UNIQUE(TRIM(_xlfn.TEXTSPLIT(Table25[[#This Row],[Selection Option]:[Selection Option]],","))),,W$11),"")</f>
        <v/>
      </c>
      <c r="X16" s="29" t="str" cm="1">
        <f t="array" ref="X16">IFERROR(INDEX(_xlfn.UNIQUE(TRIM(_xlfn.TEXTSPLIT(Table25[[#This Row],[Selection Option]:[Selection Option]],","))),,X$11),"")</f>
        <v/>
      </c>
      <c r="Y16" s="30" cm="1">
        <f t="array" ref="Y16">IF(Table25[[#This Row],[1]]="","",Table25[[#This Row],[Weight]:[Weight]]-(Table25[[#This Row],[Weight]:[Weight]]*((_xlfn.XMATCH(Table25[[#This Row],[1]],Table25[[#This Row],[1]:[11]],0))-1)/(COUNTA(Table25[[#This Row],[1]:[11]])-COUNTBLANK(Table25[[#This Row],[1]:[11]])-1)))</f>
        <v>0</v>
      </c>
      <c r="Z16" s="30" cm="1">
        <f t="array" ref="Z16">IF(Table25[[#This Row],[2]]="","",Table25[[#This Row],[Weight]:[Weight]]-(Table25[[#This Row],[Weight]:[Weight]]*((_xlfn.XMATCH(Table25[[#This Row],[2]],Table25[[#This Row],[1]:[11]],0))-1)/(COUNTA(Table25[[#This Row],[1]:[11]])-COUNTBLANK(Table25[[#This Row],[1]:[11]])-1)))</f>
        <v>0</v>
      </c>
      <c r="AA16" s="30" t="str" cm="1">
        <f t="array" ref="AA16">IF(Table25[[#This Row],[3]]="","",Table25[[#This Row],[Weight]:[Weight]]-(Table25[[#This Row],[Weight]:[Weight]]*((_xlfn.XMATCH(Table25[[#This Row],[3]],Table25[[#This Row],[1]:[11]],0))-1)/(COUNTA(Table25[[#This Row],[1]:[11]])-COUNTBLANK(Table25[[#This Row],[1]:[11]])-1)))</f>
        <v/>
      </c>
      <c r="AB16" s="30" t="str" cm="1">
        <f t="array" ref="AB16">IF(Table25[[#This Row],[4]]="","",Table25[[#This Row],[Weight]:[Weight]]-(Table25[[#This Row],[Weight]:[Weight]]*((_xlfn.XMATCH(Table25[[#This Row],[4]],Table25[[#This Row],[1]:[11]],0))-1)/(COUNTA(Table25[[#This Row],[1]:[11]])-COUNTBLANK(Table25[[#This Row],[1]:[11]])-1)))</f>
        <v/>
      </c>
      <c r="AC16" s="30" t="str" cm="1">
        <f t="array" ref="AC16">IF(Table25[[#This Row],[5]]="","",Table25[[#This Row],[Weight]:[Weight]]-(Table25[[#This Row],[Weight]:[Weight]]*((_xlfn.XMATCH(Table25[[#This Row],[5]],Table25[[#This Row],[1]:[11]],0))-1)/(COUNTA(Table25[[#This Row],[1]:[11]])-COUNTBLANK(Table25[[#This Row],[1]:[11]])-1)))</f>
        <v/>
      </c>
      <c r="AD16" s="30" t="str" cm="1">
        <f t="array" ref="AD16">IF(Table25[[#This Row],[6]]="","",Table25[[#This Row],[Weight]:[Weight]]-(Table25[[#This Row],[Weight]:[Weight]]*((_xlfn.XMATCH(Table25[[#This Row],[6]],Table25[[#This Row],[1]:[11]],0))-1)/(COUNTA(Table25[[#This Row],[1]:[11]])-COUNTBLANK(Table25[[#This Row],[1]:[11]])-1)))</f>
        <v/>
      </c>
      <c r="AE16" s="30" t="str" cm="1">
        <f t="array" ref="AE16">IF(Table25[[#This Row],[7]]="","",Table25[[#This Row],[Weight]:[Weight]]-(Table25[[#This Row],[Weight]:[Weight]]*((_xlfn.XMATCH(Table25[[#This Row],[7]],Table25[[#This Row],[1]:[11]],0))-1)/(COUNTA(Table25[[#This Row],[1]:[11]])-COUNTBLANK(Table25[[#This Row],[1]:[11]])-1)))</f>
        <v/>
      </c>
      <c r="AF16" s="30" t="str" cm="1">
        <f t="array" ref="AF16">IF(Table25[[#This Row],[8]]="","",Table25[[#This Row],[Weight]:[Weight]]-(Table25[[#This Row],[Weight]:[Weight]]*((_xlfn.XMATCH(Table25[[#This Row],[8]],Table25[[#This Row],[1]:[11]],0))-1)/(COUNTA(Table25[[#This Row],[1]:[11]])-COUNTBLANK(Table25[[#This Row],[1]:[11]])-1)))</f>
        <v/>
      </c>
      <c r="AG16" s="30" t="str" cm="1">
        <f t="array" ref="AG16">IF(Table25[[#This Row],[9]]="","",Table25[[#This Row],[Weight]:[Weight]]-(Table25[[#This Row],[Weight]:[Weight]]*((_xlfn.XMATCH(Table25[[#This Row],[9]],Table25[[#This Row],[1]:[11]],0))-1)/(COUNTA(Table25[[#This Row],[1]:[11]])-COUNTBLANK(Table25[[#This Row],[1]:[11]])-1)))</f>
        <v/>
      </c>
      <c r="AH16" s="30" t="str" cm="1">
        <f t="array" ref="AH16">IF(Table25[[#This Row],[10]]="","",Table25[[#This Row],[Weight]:[Weight]]-(Table25[[#This Row],[Weight]:[Weight]]*((_xlfn.XMATCH(Table25[[#This Row],[10]],Table25[[#This Row],[1]:[11]],0))-1)/(COUNTA(Table25[[#This Row],[1]:[11]])-COUNTBLANK(Table25[[#This Row],[1]:[11]])-1)))</f>
        <v/>
      </c>
      <c r="AI16" s="30" t="str" cm="1">
        <f t="array" ref="AI16">IF(Table25[[#This Row],[11]]="","",Table25[[#This Row],[Weight]:[Weight]]-(Table25[[#This Row],[Weight]:[Weight]]*((_xlfn.XMATCH(Table25[[#This Row],[11]],Table25[[#This Row],[1]:[11]],0))-1)/(COUNTA(Table25[[#This Row],[1]:[11]])-COUNTBLANK(Table25[[#This Row],[1]:[11]])-1)))</f>
        <v/>
      </c>
    </row>
    <row r="17" spans="1:35" ht="60" x14ac:dyDescent="0.2">
      <c r="A17" s="20"/>
      <c r="B17" s="31"/>
      <c r="C17" s="31"/>
      <c r="D17" s="31"/>
      <c r="E17" s="31"/>
      <c r="F17" s="22" t="s">
        <v>56</v>
      </c>
      <c r="G17" s="23" cm="1">
        <f t="array" ref="G17">_xlfn.IFS(F17="","",F17="No interest",0,F17="Nice to have",1,F17="Useful",2,F17="Important",3,F17="Very important",4,F17="Critical",5,F17="Show stopper",6)</f>
        <v>3</v>
      </c>
      <c r="H17" s="24">
        <f>(G17/$G$11)*$F$11</f>
        <v>0</v>
      </c>
      <c r="I17" s="25" t="s">
        <v>547</v>
      </c>
      <c r="J17" s="37" t="str" cm="1">
        <f t="array" ref="J17">_xlfn.TEXTJOIN(" "&amp;CHAR(10),,TEXT(SUBSTITUTE(Table25[[#This Row],[12]:[22]],".",","),"0,00%"))</f>
        <v>0,00% 
0,00% 
0,00% 
0,00% 
0,00%</v>
      </c>
      <c r="K17" s="26" t="s">
        <v>34</v>
      </c>
      <c r="L17" s="27">
        <f>H17-(H17*((MATCH(Table25[[#This Row],[Evaluators Response (SELECT)]],Table25[[#This Row],[1]:[11]],0)-1)/(COUNTA(Table25[[#This Row],[1]:[11]])-COUNTBLANK(Table25[[#This Row],[1]:[11]])-1)))</f>
        <v>0</v>
      </c>
      <c r="M17" s="28"/>
      <c r="N17" s="29" t="str" cm="1">
        <f t="array" ref="N17">IFERROR(INDEX(_xlfn.UNIQUE(TRIM(_xlfn.TEXTSPLIT(Table25[[#This Row],[Selection Option]:[Selection Option]],","))),,N$11),"")</f>
        <v>5</v>
      </c>
      <c r="O17" s="29" t="str" cm="1">
        <f t="array" ref="O17">IFERROR(INDEX(_xlfn.UNIQUE(TRIM(_xlfn.TEXTSPLIT(Table25[[#This Row],[Selection Option]:[Selection Option]],","))),,O$11),"")</f>
        <v>4</v>
      </c>
      <c r="P17" s="29" t="str" cm="1">
        <f t="array" ref="P17">IFERROR(INDEX(_xlfn.UNIQUE(TRIM(_xlfn.TEXTSPLIT(Table25[[#This Row],[Selection Option]:[Selection Option]],","))),,P$11),"")</f>
        <v>3</v>
      </c>
      <c r="Q17" s="29" t="str" cm="1">
        <f t="array" ref="Q17">IFERROR(INDEX(_xlfn.UNIQUE(TRIM(_xlfn.TEXTSPLIT(Table25[[#This Row],[Selection Option]:[Selection Option]],","))),,Q$11),"")</f>
        <v>2</v>
      </c>
      <c r="R17" s="29" t="str" cm="1">
        <f t="array" ref="R17">IFERROR(INDEX(_xlfn.UNIQUE(TRIM(_xlfn.TEXTSPLIT(Table25[[#This Row],[Selection Option]:[Selection Option]],","))),,R$11),"")</f>
        <v>1</v>
      </c>
      <c r="S17" s="29" t="str" cm="1">
        <f t="array" ref="S17">IFERROR(INDEX(_xlfn.UNIQUE(TRIM(_xlfn.TEXTSPLIT(Table25[[#This Row],[Selection Option]:[Selection Option]],","))),,S$11),"")</f>
        <v/>
      </c>
      <c r="T17" s="29" t="str" cm="1">
        <f t="array" ref="T17">IFERROR(INDEX(_xlfn.UNIQUE(TRIM(_xlfn.TEXTSPLIT(Table25[[#This Row],[Selection Option]:[Selection Option]],","))),,T$11),"")</f>
        <v/>
      </c>
      <c r="U17" s="29" t="str" cm="1">
        <f t="array" ref="U17">IFERROR(INDEX(_xlfn.UNIQUE(TRIM(_xlfn.TEXTSPLIT(Table25[[#This Row],[Selection Option]:[Selection Option]],","))),,U$11),"")</f>
        <v/>
      </c>
      <c r="V17" s="29" t="str" cm="1">
        <f t="array" ref="V17">IFERROR(INDEX(_xlfn.UNIQUE(TRIM(_xlfn.TEXTSPLIT(Table25[[#This Row],[Selection Option]:[Selection Option]],","))),,V$11),"")</f>
        <v/>
      </c>
      <c r="W17" s="29" t="str" cm="1">
        <f t="array" ref="W17">IFERROR(INDEX(_xlfn.UNIQUE(TRIM(_xlfn.TEXTSPLIT(Table25[[#This Row],[Selection Option]:[Selection Option]],","))),,W$11),"")</f>
        <v/>
      </c>
      <c r="X17" s="29" t="str" cm="1">
        <f t="array" ref="X17">IFERROR(INDEX(_xlfn.UNIQUE(TRIM(_xlfn.TEXTSPLIT(Table25[[#This Row],[Selection Option]:[Selection Option]],","))),,X$11),"")</f>
        <v/>
      </c>
      <c r="Y17" s="30" cm="1">
        <f t="array" ref="Y17">IF(Table25[[#This Row],[1]]="","",Table25[[#This Row],[Weight]:[Weight]]-(Table25[[#This Row],[Weight]:[Weight]]*((_xlfn.XMATCH(Table25[[#This Row],[1]],Table25[[#This Row],[1]:[11]],0))-1)/(COUNTA(Table25[[#This Row],[1]:[11]])-COUNTBLANK(Table25[[#This Row],[1]:[11]])-1)))</f>
        <v>0</v>
      </c>
      <c r="Z17" s="30" cm="1">
        <f t="array" ref="Z17">IF(Table25[[#This Row],[2]]="","",Table25[[#This Row],[Weight]:[Weight]]-(Table25[[#This Row],[Weight]:[Weight]]*((_xlfn.XMATCH(Table25[[#This Row],[2]],Table25[[#This Row],[1]:[11]],0))-1)/(COUNTA(Table25[[#This Row],[1]:[11]])-COUNTBLANK(Table25[[#This Row],[1]:[11]])-1)))</f>
        <v>0</v>
      </c>
      <c r="AA17" s="30" cm="1">
        <f t="array" ref="AA17">IF(Table25[[#This Row],[3]]="","",Table25[[#This Row],[Weight]:[Weight]]-(Table25[[#This Row],[Weight]:[Weight]]*((_xlfn.XMATCH(Table25[[#This Row],[3]],Table25[[#This Row],[1]:[11]],0))-1)/(COUNTA(Table25[[#This Row],[1]:[11]])-COUNTBLANK(Table25[[#This Row],[1]:[11]])-1)))</f>
        <v>0</v>
      </c>
      <c r="AB17" s="30" cm="1">
        <f t="array" ref="AB17">IF(Table25[[#This Row],[4]]="","",Table25[[#This Row],[Weight]:[Weight]]-(Table25[[#This Row],[Weight]:[Weight]]*((_xlfn.XMATCH(Table25[[#This Row],[4]],Table25[[#This Row],[1]:[11]],0))-1)/(COUNTA(Table25[[#This Row],[1]:[11]])-COUNTBLANK(Table25[[#This Row],[1]:[11]])-1)))</f>
        <v>0</v>
      </c>
      <c r="AC17" s="30" cm="1">
        <f t="array" ref="AC17">IF(Table25[[#This Row],[5]]="","",Table25[[#This Row],[Weight]:[Weight]]-(Table25[[#This Row],[Weight]:[Weight]]*((_xlfn.XMATCH(Table25[[#This Row],[5]],Table25[[#This Row],[1]:[11]],0))-1)/(COUNTA(Table25[[#This Row],[1]:[11]])-COUNTBLANK(Table25[[#This Row],[1]:[11]])-1)))</f>
        <v>0</v>
      </c>
      <c r="AD17" s="30" t="str" cm="1">
        <f t="array" ref="AD17">IF(Table25[[#This Row],[6]]="","",Table25[[#This Row],[Weight]:[Weight]]-(Table25[[#This Row],[Weight]:[Weight]]*((_xlfn.XMATCH(Table25[[#This Row],[6]],Table25[[#This Row],[1]:[11]],0))-1)/(COUNTA(Table25[[#This Row],[1]:[11]])-COUNTBLANK(Table25[[#This Row],[1]:[11]])-1)))</f>
        <v/>
      </c>
      <c r="AE17" s="30" t="str" cm="1">
        <f t="array" ref="AE17">IF(Table25[[#This Row],[7]]="","",Table25[[#This Row],[Weight]:[Weight]]-(Table25[[#This Row],[Weight]:[Weight]]*((_xlfn.XMATCH(Table25[[#This Row],[7]],Table25[[#This Row],[1]:[11]],0))-1)/(COUNTA(Table25[[#This Row],[1]:[11]])-COUNTBLANK(Table25[[#This Row],[1]:[11]])-1)))</f>
        <v/>
      </c>
      <c r="AF17" s="30" t="str" cm="1">
        <f t="array" ref="AF17">IF(Table25[[#This Row],[8]]="","",Table25[[#This Row],[Weight]:[Weight]]-(Table25[[#This Row],[Weight]:[Weight]]*((_xlfn.XMATCH(Table25[[#This Row],[8]],Table25[[#This Row],[1]:[11]],0))-1)/(COUNTA(Table25[[#This Row],[1]:[11]])-COUNTBLANK(Table25[[#This Row],[1]:[11]])-1)))</f>
        <v/>
      </c>
      <c r="AG17" s="30" t="str" cm="1">
        <f t="array" ref="AG17">IF(Table25[[#This Row],[9]]="","",Table25[[#This Row],[Weight]:[Weight]]-(Table25[[#This Row],[Weight]:[Weight]]*((_xlfn.XMATCH(Table25[[#This Row],[9]],Table25[[#This Row],[1]:[11]],0))-1)/(COUNTA(Table25[[#This Row],[1]:[11]])-COUNTBLANK(Table25[[#This Row],[1]:[11]])-1)))</f>
        <v/>
      </c>
      <c r="AH17" s="30" t="str" cm="1">
        <f t="array" ref="AH17">IF(Table25[[#This Row],[10]]="","",Table25[[#This Row],[Weight]:[Weight]]-(Table25[[#This Row],[Weight]:[Weight]]*((_xlfn.XMATCH(Table25[[#This Row],[10]],Table25[[#This Row],[1]:[11]],0))-1)/(COUNTA(Table25[[#This Row],[1]:[11]])-COUNTBLANK(Table25[[#This Row],[1]:[11]])-1)))</f>
        <v/>
      </c>
      <c r="AI17" s="30" t="str" cm="1">
        <f t="array" ref="AI17">IF(Table25[[#This Row],[11]]="","",Table25[[#This Row],[Weight]:[Weight]]-(Table25[[#This Row],[Weight]:[Weight]]*((_xlfn.XMATCH(Table25[[#This Row],[11]],Table25[[#This Row],[1]:[11]],0))-1)/(COUNTA(Table25[[#This Row],[1]:[11]])-COUNTBLANK(Table25[[#This Row],[1]:[11]])-1)))</f>
        <v/>
      </c>
    </row>
    <row r="18" spans="1:35" ht="60" x14ac:dyDescent="0.2">
      <c r="A18" s="32">
        <v>4</v>
      </c>
      <c r="B18" s="33" t="s">
        <v>548</v>
      </c>
      <c r="C18" s="33" t="s">
        <v>539</v>
      </c>
      <c r="D18" s="33" t="s">
        <v>549</v>
      </c>
      <c r="E18" s="33" t="s">
        <v>550</v>
      </c>
      <c r="F18" s="34" t="s">
        <v>60</v>
      </c>
      <c r="G18" s="35" cm="1">
        <f t="array" ref="G18">_xlfn.IFS(F18="","",F18="No interest",0,F18="Nice to have",1,F18="Useful",2,F18="Important",3,F18="Very important",4,F18="Critical",5,F18="Show stopper",6)</f>
        <v>6</v>
      </c>
      <c r="H18" s="36">
        <f t="shared" ref="H18:H31" si="1">(G18/$G$11)*$F$11</f>
        <v>0</v>
      </c>
      <c r="I18" s="37" t="s">
        <v>551</v>
      </c>
      <c r="J18" s="37" t="str" cm="1">
        <f t="array" ref="J18">_xlfn.TEXTJOIN(" "&amp;CHAR(10),,TEXT(SUBSTITUTE(Table25[[#This Row],[12]:[22]],".",","),"0,00%"))</f>
        <v>0,00% 
0,00% 
0,00% 
0,00% 
0,00%</v>
      </c>
      <c r="K18" s="38" t="s">
        <v>552</v>
      </c>
      <c r="L18" s="39">
        <f>H18-(H18*((MATCH(Table25[[#This Row],[Evaluators Response (SELECT)]],Table25[[#This Row],[1]:[11]],0)-1)/(COUNTA(Table25[[#This Row],[1]:[11]])-COUNTBLANK(Table25[[#This Row],[1]:[11]])-1)))</f>
        <v>0</v>
      </c>
      <c r="M18" s="40"/>
      <c r="N18" s="29" t="str" cm="1">
        <f t="array" ref="N18">IFERROR(INDEX(_xlfn.UNIQUE(TRIM(_xlfn.TEXTSPLIT(Table25[[#This Row],[Selection Option]:[Selection Option]],","))),,N$11),"")</f>
        <v>op1</v>
      </c>
      <c r="O18" s="29" t="str" cm="1">
        <f t="array" ref="O18">IFERROR(INDEX(_xlfn.UNIQUE(TRIM(_xlfn.TEXTSPLIT(Table25[[#This Row],[Selection Option]:[Selection Option]],","))),,O$11),"")</f>
        <v xml:space="preserve">
op2</v>
      </c>
      <c r="P18" s="29" t="str" cm="1">
        <f t="array" ref="P18">IFERROR(INDEX(_xlfn.UNIQUE(TRIM(_xlfn.TEXTSPLIT(Table25[[#This Row],[Selection Option]:[Selection Option]],","))),,P$11),"")</f>
        <v xml:space="preserve">
op3</v>
      </c>
      <c r="Q18" s="29" t="str" cm="1">
        <f t="array" ref="Q18">IFERROR(INDEX(_xlfn.UNIQUE(TRIM(_xlfn.TEXTSPLIT(Table25[[#This Row],[Selection Option]:[Selection Option]],","))),,Q$11),"")</f>
        <v xml:space="preserve">
op4</v>
      </c>
      <c r="R18" s="29" t="str" cm="1">
        <f t="array" ref="R18">IFERROR(INDEX(_xlfn.UNIQUE(TRIM(_xlfn.TEXTSPLIT(Table25[[#This Row],[Selection Option]:[Selection Option]],","))),,R$11),"")</f>
        <v xml:space="preserve">
op5</v>
      </c>
      <c r="S18" s="29" t="str" cm="1">
        <f t="array" ref="S18">IFERROR(INDEX(_xlfn.UNIQUE(TRIM(_xlfn.TEXTSPLIT(Table25[[#This Row],[Selection Option]:[Selection Option]],","))),,S$11),"")</f>
        <v/>
      </c>
      <c r="T18" s="29" t="str" cm="1">
        <f t="array" ref="T18">IFERROR(INDEX(_xlfn.UNIQUE(TRIM(_xlfn.TEXTSPLIT(Table25[[#This Row],[Selection Option]:[Selection Option]],","))),,T$11),"")</f>
        <v/>
      </c>
      <c r="U18" s="29" t="str" cm="1">
        <f t="array" ref="U18">IFERROR(INDEX(_xlfn.UNIQUE(TRIM(_xlfn.TEXTSPLIT(Table25[[#This Row],[Selection Option]:[Selection Option]],","))),,U$11),"")</f>
        <v/>
      </c>
      <c r="V18" s="29" t="str" cm="1">
        <f t="array" ref="V18">IFERROR(INDEX(_xlfn.UNIQUE(TRIM(_xlfn.TEXTSPLIT(Table25[[#This Row],[Selection Option]:[Selection Option]],","))),,V$11),"")</f>
        <v/>
      </c>
      <c r="W18" s="29" t="str" cm="1">
        <f t="array" ref="W18">IFERROR(INDEX(_xlfn.UNIQUE(TRIM(_xlfn.TEXTSPLIT(Table25[[#This Row],[Selection Option]:[Selection Option]],","))),,W$11),"")</f>
        <v/>
      </c>
      <c r="X18" s="29" t="str" cm="1">
        <f t="array" ref="X18">IFERROR(INDEX(_xlfn.UNIQUE(TRIM(_xlfn.TEXTSPLIT(Table25[[#This Row],[Selection Option]:[Selection Option]],","))),,X$11),"")</f>
        <v/>
      </c>
      <c r="Y18" s="30" cm="1">
        <f t="array" ref="Y18">IF(Table25[[#This Row],[1]]="","",Table25[[#This Row],[Weight]:[Weight]]-(Table25[[#This Row],[Weight]:[Weight]]*((_xlfn.XMATCH(Table25[[#This Row],[1]],Table25[[#This Row],[1]:[11]],0))-1)/(COUNTA(Table25[[#This Row],[1]:[11]])-COUNTBLANK(Table25[[#This Row],[1]:[11]])-1)))</f>
        <v>0</v>
      </c>
      <c r="Z18" s="30" cm="1">
        <f t="array" ref="Z18">IF(Table25[[#This Row],[2]]="","",Table25[[#This Row],[Weight]:[Weight]]-(Table25[[#This Row],[Weight]:[Weight]]*((_xlfn.XMATCH(Table25[[#This Row],[2]],Table25[[#This Row],[1]:[11]],0))-1)/(COUNTA(Table25[[#This Row],[1]:[11]])-COUNTBLANK(Table25[[#This Row],[1]:[11]])-1)))</f>
        <v>0</v>
      </c>
      <c r="AA18" s="30" cm="1">
        <f t="array" ref="AA18">IF(Table25[[#This Row],[3]]="","",Table25[[#This Row],[Weight]:[Weight]]-(Table25[[#This Row],[Weight]:[Weight]]*((_xlfn.XMATCH(Table25[[#This Row],[3]],Table25[[#This Row],[1]:[11]],0))-1)/(COUNTA(Table25[[#This Row],[1]:[11]])-COUNTBLANK(Table25[[#This Row],[1]:[11]])-1)))</f>
        <v>0</v>
      </c>
      <c r="AB18" s="30" cm="1">
        <f t="array" ref="AB18">IF(Table25[[#This Row],[4]]="","",Table25[[#This Row],[Weight]:[Weight]]-(Table25[[#This Row],[Weight]:[Weight]]*((_xlfn.XMATCH(Table25[[#This Row],[4]],Table25[[#This Row],[1]:[11]],0))-1)/(COUNTA(Table25[[#This Row],[1]:[11]])-COUNTBLANK(Table25[[#This Row],[1]:[11]])-1)))</f>
        <v>0</v>
      </c>
      <c r="AC18" s="30" cm="1">
        <f t="array" ref="AC18">IF(Table25[[#This Row],[5]]="","",Table25[[#This Row],[Weight]:[Weight]]-(Table25[[#This Row],[Weight]:[Weight]]*((_xlfn.XMATCH(Table25[[#This Row],[5]],Table25[[#This Row],[1]:[11]],0))-1)/(COUNTA(Table25[[#This Row],[1]:[11]])-COUNTBLANK(Table25[[#This Row],[1]:[11]])-1)))</f>
        <v>0</v>
      </c>
      <c r="AD18" s="30" t="str" cm="1">
        <f t="array" ref="AD18">IF(Table25[[#This Row],[6]]="","",Table25[[#This Row],[Weight]:[Weight]]-(Table25[[#This Row],[Weight]:[Weight]]*((_xlfn.XMATCH(Table25[[#This Row],[6]],Table25[[#This Row],[1]:[11]],0))-1)/(COUNTA(Table25[[#This Row],[1]:[11]])-COUNTBLANK(Table25[[#This Row],[1]:[11]])-1)))</f>
        <v/>
      </c>
      <c r="AE18" s="30" t="str" cm="1">
        <f t="array" ref="AE18">IF(Table25[[#This Row],[7]]="","",Table25[[#This Row],[Weight]:[Weight]]-(Table25[[#This Row],[Weight]:[Weight]]*((_xlfn.XMATCH(Table25[[#This Row],[7]],Table25[[#This Row],[1]:[11]],0))-1)/(COUNTA(Table25[[#This Row],[1]:[11]])-COUNTBLANK(Table25[[#This Row],[1]:[11]])-1)))</f>
        <v/>
      </c>
      <c r="AF18" s="30" t="str" cm="1">
        <f t="array" ref="AF18">IF(Table25[[#This Row],[8]]="","",Table25[[#This Row],[Weight]:[Weight]]-(Table25[[#This Row],[Weight]:[Weight]]*((_xlfn.XMATCH(Table25[[#This Row],[8]],Table25[[#This Row],[1]:[11]],0))-1)/(COUNTA(Table25[[#This Row],[1]:[11]])-COUNTBLANK(Table25[[#This Row],[1]:[11]])-1)))</f>
        <v/>
      </c>
      <c r="AG18" s="30" t="str" cm="1">
        <f t="array" ref="AG18">IF(Table25[[#This Row],[9]]="","",Table25[[#This Row],[Weight]:[Weight]]-(Table25[[#This Row],[Weight]:[Weight]]*((_xlfn.XMATCH(Table25[[#This Row],[9]],Table25[[#This Row],[1]:[11]],0))-1)/(COUNTA(Table25[[#This Row],[1]:[11]])-COUNTBLANK(Table25[[#This Row],[1]:[11]])-1)))</f>
        <v/>
      </c>
      <c r="AH18" s="30" t="str" cm="1">
        <f t="array" ref="AH18">IF(Table25[[#This Row],[10]]="","",Table25[[#This Row],[Weight]:[Weight]]-(Table25[[#This Row],[Weight]:[Weight]]*((_xlfn.XMATCH(Table25[[#This Row],[10]],Table25[[#This Row],[1]:[11]],0))-1)/(COUNTA(Table25[[#This Row],[1]:[11]])-COUNTBLANK(Table25[[#This Row],[1]:[11]])-1)))</f>
        <v/>
      </c>
      <c r="AI18" s="30" t="str" cm="1">
        <f t="array" ref="AI18">IF(Table25[[#This Row],[11]]="","",Table25[[#This Row],[Weight]:[Weight]]-(Table25[[#This Row],[Weight]:[Weight]]*((_xlfn.XMATCH(Table25[[#This Row],[11]],Table25[[#This Row],[1]:[11]],0))-1)/(COUNTA(Table25[[#This Row],[1]:[11]])-COUNTBLANK(Table25[[#This Row],[1]:[11]])-1)))</f>
        <v/>
      </c>
    </row>
    <row r="19" spans="1:35" ht="48" x14ac:dyDescent="0.2">
      <c r="A19" s="32">
        <v>5</v>
      </c>
      <c r="B19" s="33" t="s">
        <v>553</v>
      </c>
      <c r="C19" s="33" t="s">
        <v>554</v>
      </c>
      <c r="D19" s="33" t="s">
        <v>543</v>
      </c>
      <c r="E19" s="33" t="s">
        <v>555</v>
      </c>
      <c r="F19" s="34" t="s">
        <v>248</v>
      </c>
      <c r="G19" s="35" cm="1">
        <f t="array" ref="G19">_xlfn.IFS(F19="","",F19="No interest",0,F19="Nice to have",1,F19="Useful",2,F19="Important",3,F19="Very important",4,F19="Critical",5,F19="Show stopper",6)</f>
        <v>4</v>
      </c>
      <c r="H19" s="36">
        <f t="shared" si="1"/>
        <v>0</v>
      </c>
      <c r="I19" s="37" t="s">
        <v>556</v>
      </c>
      <c r="J19" s="37" t="str" cm="1">
        <f t="array" ref="J19">_xlfn.TEXTJOIN(" "&amp;CHAR(10),,TEXT(SUBSTITUTE(Table25[[#This Row],[12]:[22]],".",","),"0,00%"))</f>
        <v>0,00% 
0,00% 
0,00% 
0,00%</v>
      </c>
      <c r="K19" s="38" t="s">
        <v>557</v>
      </c>
      <c r="L19" s="39">
        <f>H19-(H19*((MATCH(Table25[[#This Row],[Evaluators Response (SELECT)]],Table25[[#This Row],[1]:[11]],0)-1)/(COUNTA(Table25[[#This Row],[1]:[11]])-COUNTBLANK(Table25[[#This Row],[1]:[11]])-1)))</f>
        <v>0</v>
      </c>
      <c r="M19" s="40"/>
      <c r="N19" s="29" t="str" cm="1">
        <f t="array" ref="N19">IFERROR(INDEX(_xlfn.UNIQUE(TRIM(_xlfn.TEXTSPLIT(Table25[[#This Row],[Selection Option]:[Selection Option]],","))),,N$11),"")</f>
        <v>A</v>
      </c>
      <c r="O19" s="29" t="str" cm="1">
        <f t="array" ref="O19">IFERROR(INDEX(_xlfn.UNIQUE(TRIM(_xlfn.TEXTSPLIT(Table25[[#This Row],[Selection Option]:[Selection Option]],","))),,O$11),"")</f>
        <v xml:space="preserve">
B</v>
      </c>
      <c r="P19" s="29" t="str" cm="1">
        <f t="array" ref="P19">IFERROR(INDEX(_xlfn.UNIQUE(TRIM(_xlfn.TEXTSPLIT(Table25[[#This Row],[Selection Option]:[Selection Option]],","))),,P$11),"")</f>
        <v xml:space="preserve">
C</v>
      </c>
      <c r="Q19" s="29" t="str" cm="1">
        <f t="array" ref="Q19">IFERROR(INDEX(_xlfn.UNIQUE(TRIM(_xlfn.TEXTSPLIT(Table25[[#This Row],[Selection Option]:[Selection Option]],","))),,Q$11),"")</f>
        <v xml:space="preserve">
D</v>
      </c>
      <c r="R19" s="29" t="str" cm="1">
        <f t="array" ref="R19">IFERROR(INDEX(_xlfn.UNIQUE(TRIM(_xlfn.TEXTSPLIT(Table25[[#This Row],[Selection Option]:[Selection Option]],","))),,R$11),"")</f>
        <v/>
      </c>
      <c r="S19" s="29" t="str" cm="1">
        <f t="array" ref="S19">IFERROR(INDEX(_xlfn.UNIQUE(TRIM(_xlfn.TEXTSPLIT(Table25[[#This Row],[Selection Option]:[Selection Option]],","))),,S$11),"")</f>
        <v/>
      </c>
      <c r="T19" s="29" t="str" cm="1">
        <f t="array" ref="T19">IFERROR(INDEX(_xlfn.UNIQUE(TRIM(_xlfn.TEXTSPLIT(Table25[[#This Row],[Selection Option]:[Selection Option]],","))),,T$11),"")</f>
        <v/>
      </c>
      <c r="U19" s="29" t="str" cm="1">
        <f t="array" ref="U19">IFERROR(INDEX(_xlfn.UNIQUE(TRIM(_xlfn.TEXTSPLIT(Table25[[#This Row],[Selection Option]:[Selection Option]],","))),,U$11),"")</f>
        <v/>
      </c>
      <c r="V19" s="29" t="str" cm="1">
        <f t="array" ref="V19">IFERROR(INDEX(_xlfn.UNIQUE(TRIM(_xlfn.TEXTSPLIT(Table25[[#This Row],[Selection Option]:[Selection Option]],","))),,V$11),"")</f>
        <v/>
      </c>
      <c r="W19" s="29" t="str" cm="1">
        <f t="array" ref="W19">IFERROR(INDEX(_xlfn.UNIQUE(TRIM(_xlfn.TEXTSPLIT(Table25[[#This Row],[Selection Option]:[Selection Option]],","))),,W$11),"")</f>
        <v/>
      </c>
      <c r="X19" s="29" t="str" cm="1">
        <f t="array" ref="X19">IFERROR(INDEX(_xlfn.UNIQUE(TRIM(_xlfn.TEXTSPLIT(Table25[[#This Row],[Selection Option]:[Selection Option]],","))),,X$11),"")</f>
        <v/>
      </c>
      <c r="Y19" s="30" cm="1">
        <f t="array" ref="Y19">IF(Table25[[#This Row],[1]]="","",Table25[[#This Row],[Weight]:[Weight]]-(Table25[[#This Row],[Weight]:[Weight]]*((_xlfn.XMATCH(Table25[[#This Row],[1]],Table25[[#This Row],[1]:[11]],0))-1)/(COUNTA(Table25[[#This Row],[1]:[11]])-COUNTBLANK(Table25[[#This Row],[1]:[11]])-1)))</f>
        <v>0</v>
      </c>
      <c r="Z19" s="30" cm="1">
        <f t="array" ref="Z19">IF(Table25[[#This Row],[2]]="","",Table25[[#This Row],[Weight]:[Weight]]-(Table25[[#This Row],[Weight]:[Weight]]*((_xlfn.XMATCH(Table25[[#This Row],[2]],Table25[[#This Row],[1]:[11]],0))-1)/(COUNTA(Table25[[#This Row],[1]:[11]])-COUNTBLANK(Table25[[#This Row],[1]:[11]])-1)))</f>
        <v>0</v>
      </c>
      <c r="AA19" s="30" cm="1">
        <f t="array" ref="AA19">IF(Table25[[#This Row],[3]]="","",Table25[[#This Row],[Weight]:[Weight]]-(Table25[[#This Row],[Weight]:[Weight]]*((_xlfn.XMATCH(Table25[[#This Row],[3]],Table25[[#This Row],[1]:[11]],0))-1)/(COUNTA(Table25[[#This Row],[1]:[11]])-COUNTBLANK(Table25[[#This Row],[1]:[11]])-1)))</f>
        <v>0</v>
      </c>
      <c r="AB19" s="30" cm="1">
        <f t="array" ref="AB19">IF(Table25[[#This Row],[4]]="","",Table25[[#This Row],[Weight]:[Weight]]-(Table25[[#This Row],[Weight]:[Weight]]*((_xlfn.XMATCH(Table25[[#This Row],[4]],Table25[[#This Row],[1]:[11]],0))-1)/(COUNTA(Table25[[#This Row],[1]:[11]])-COUNTBLANK(Table25[[#This Row],[1]:[11]])-1)))</f>
        <v>0</v>
      </c>
      <c r="AC19" s="30" t="str" cm="1">
        <f t="array" ref="AC19">IF(Table25[[#This Row],[5]]="","",Table25[[#This Row],[Weight]:[Weight]]-(Table25[[#This Row],[Weight]:[Weight]]*((_xlfn.XMATCH(Table25[[#This Row],[5]],Table25[[#This Row],[1]:[11]],0))-1)/(COUNTA(Table25[[#This Row],[1]:[11]])-COUNTBLANK(Table25[[#This Row],[1]:[11]])-1)))</f>
        <v/>
      </c>
      <c r="AD19" s="30" t="str" cm="1">
        <f t="array" ref="AD19">IF(Table25[[#This Row],[6]]="","",Table25[[#This Row],[Weight]:[Weight]]-(Table25[[#This Row],[Weight]:[Weight]]*((_xlfn.XMATCH(Table25[[#This Row],[6]],Table25[[#This Row],[1]:[11]],0))-1)/(COUNTA(Table25[[#This Row],[1]:[11]])-COUNTBLANK(Table25[[#This Row],[1]:[11]])-1)))</f>
        <v/>
      </c>
      <c r="AE19" s="30" t="str" cm="1">
        <f t="array" ref="AE19">IF(Table25[[#This Row],[7]]="","",Table25[[#This Row],[Weight]:[Weight]]-(Table25[[#This Row],[Weight]:[Weight]]*((_xlfn.XMATCH(Table25[[#This Row],[7]],Table25[[#This Row],[1]:[11]],0))-1)/(COUNTA(Table25[[#This Row],[1]:[11]])-COUNTBLANK(Table25[[#This Row],[1]:[11]])-1)))</f>
        <v/>
      </c>
      <c r="AF19" s="30" t="str" cm="1">
        <f t="array" ref="AF19">IF(Table25[[#This Row],[8]]="","",Table25[[#This Row],[Weight]:[Weight]]-(Table25[[#This Row],[Weight]:[Weight]]*((_xlfn.XMATCH(Table25[[#This Row],[8]],Table25[[#This Row],[1]:[11]],0))-1)/(COUNTA(Table25[[#This Row],[1]:[11]])-COUNTBLANK(Table25[[#This Row],[1]:[11]])-1)))</f>
        <v/>
      </c>
      <c r="AG19" s="30" t="str" cm="1">
        <f t="array" ref="AG19">IF(Table25[[#This Row],[9]]="","",Table25[[#This Row],[Weight]:[Weight]]-(Table25[[#This Row],[Weight]:[Weight]]*((_xlfn.XMATCH(Table25[[#This Row],[9]],Table25[[#This Row],[1]:[11]],0))-1)/(COUNTA(Table25[[#This Row],[1]:[11]])-COUNTBLANK(Table25[[#This Row],[1]:[11]])-1)))</f>
        <v/>
      </c>
      <c r="AH19" s="30" t="str" cm="1">
        <f t="array" ref="AH19">IF(Table25[[#This Row],[10]]="","",Table25[[#This Row],[Weight]:[Weight]]-(Table25[[#This Row],[Weight]:[Weight]]*((_xlfn.XMATCH(Table25[[#This Row],[10]],Table25[[#This Row],[1]:[11]],0))-1)/(COUNTA(Table25[[#This Row],[1]:[11]])-COUNTBLANK(Table25[[#This Row],[1]:[11]])-1)))</f>
        <v/>
      </c>
      <c r="AI19" s="30" t="str" cm="1">
        <f t="array" ref="AI19">IF(Table25[[#This Row],[11]]="","",Table25[[#This Row],[Weight]:[Weight]]-(Table25[[#This Row],[Weight]:[Weight]]*((_xlfn.XMATCH(Table25[[#This Row],[11]],Table25[[#This Row],[1]:[11]],0))-1)/(COUNTA(Table25[[#This Row],[1]:[11]])-COUNTBLANK(Table25[[#This Row],[1]:[11]])-1)))</f>
        <v/>
      </c>
    </row>
    <row r="20" spans="1:35" ht="24" x14ac:dyDescent="0.2">
      <c r="A20" s="32">
        <v>6</v>
      </c>
      <c r="B20" s="33" t="s">
        <v>558</v>
      </c>
      <c r="C20" s="33" t="s">
        <v>559</v>
      </c>
      <c r="D20" s="33" t="s">
        <v>543</v>
      </c>
      <c r="E20" s="33" t="s">
        <v>560</v>
      </c>
      <c r="F20" s="34" t="s">
        <v>106</v>
      </c>
      <c r="G20" s="35" cm="1">
        <f t="array" ref="G20">_xlfn.IFS(F20="","",F20="No interest",0,F20="Nice to have",1,F20="Useful",2,F20="Important",3,F20="Very important",4,F20="Critical",5,F20="Show stopper",6)</f>
        <v>5</v>
      </c>
      <c r="H20" s="36">
        <f t="shared" si="1"/>
        <v>0</v>
      </c>
      <c r="I20" s="37" t="s">
        <v>545</v>
      </c>
      <c r="J20" s="37" t="str" cm="1">
        <f t="array" ref="J20">_xlfn.TEXTJOIN(" "&amp;CHAR(10),,TEXT(SUBSTITUTE(Table25[[#This Row],[12]:[22]],".",","),"0,00%"))</f>
        <v>0,00% 
0,00%</v>
      </c>
      <c r="K20" s="38" t="s">
        <v>561</v>
      </c>
      <c r="L20" s="39">
        <f>H20-(H20*((MATCH(Table25[[#This Row],[Evaluators Response (SELECT)]],Table25[[#This Row],[1]:[11]],0)-1)/(COUNTA(Table25[[#This Row],[1]:[11]])-COUNTBLANK(Table25[[#This Row],[1]:[11]])-1)))</f>
        <v>0</v>
      </c>
      <c r="M20" s="40"/>
      <c r="N20" s="29" t="str" cm="1">
        <f t="array" ref="N20">IFERROR(INDEX(_xlfn.UNIQUE(TRIM(_xlfn.TEXTSPLIT(Table25[[#This Row],[Selection Option]:[Selection Option]],","))),,N$11),"")</f>
        <v>Yes</v>
      </c>
      <c r="O20" s="29" t="str" cm="1">
        <f t="array" ref="O20">IFERROR(INDEX(_xlfn.UNIQUE(TRIM(_xlfn.TEXTSPLIT(Table25[[#This Row],[Selection Option]:[Selection Option]],","))),,O$11),"")</f>
        <v xml:space="preserve">
No</v>
      </c>
      <c r="P20" s="29" t="str" cm="1">
        <f t="array" ref="P20">IFERROR(INDEX(_xlfn.UNIQUE(TRIM(_xlfn.TEXTSPLIT(Table25[[#This Row],[Selection Option]:[Selection Option]],","))),,P$11),"")</f>
        <v/>
      </c>
      <c r="Q20" s="29" t="str" cm="1">
        <f t="array" ref="Q20">IFERROR(INDEX(_xlfn.UNIQUE(TRIM(_xlfn.TEXTSPLIT(Table25[[#This Row],[Selection Option]:[Selection Option]],","))),,Q$11),"")</f>
        <v/>
      </c>
      <c r="R20" s="29" t="str" cm="1">
        <f t="array" ref="R20">IFERROR(INDEX(_xlfn.UNIQUE(TRIM(_xlfn.TEXTSPLIT(Table25[[#This Row],[Selection Option]:[Selection Option]],","))),,R$11),"")</f>
        <v/>
      </c>
      <c r="S20" s="29" t="str" cm="1">
        <f t="array" ref="S20">IFERROR(INDEX(_xlfn.UNIQUE(TRIM(_xlfn.TEXTSPLIT(Table25[[#This Row],[Selection Option]:[Selection Option]],","))),,S$11),"")</f>
        <v/>
      </c>
      <c r="T20" s="29" t="str" cm="1">
        <f t="array" ref="T20">IFERROR(INDEX(_xlfn.UNIQUE(TRIM(_xlfn.TEXTSPLIT(Table25[[#This Row],[Selection Option]:[Selection Option]],","))),,T$11),"")</f>
        <v/>
      </c>
      <c r="U20" s="29" t="str" cm="1">
        <f t="array" ref="U20">IFERROR(INDEX(_xlfn.UNIQUE(TRIM(_xlfn.TEXTSPLIT(Table25[[#This Row],[Selection Option]:[Selection Option]],","))),,U$11),"")</f>
        <v/>
      </c>
      <c r="V20" s="29" t="str" cm="1">
        <f t="array" ref="V20">IFERROR(INDEX(_xlfn.UNIQUE(TRIM(_xlfn.TEXTSPLIT(Table25[[#This Row],[Selection Option]:[Selection Option]],","))),,V$11),"")</f>
        <v/>
      </c>
      <c r="W20" s="29" t="str" cm="1">
        <f t="array" ref="W20">IFERROR(INDEX(_xlfn.UNIQUE(TRIM(_xlfn.TEXTSPLIT(Table25[[#This Row],[Selection Option]:[Selection Option]],","))),,W$11),"")</f>
        <v/>
      </c>
      <c r="X20" s="29" t="str" cm="1">
        <f t="array" ref="X20">IFERROR(INDEX(_xlfn.UNIQUE(TRIM(_xlfn.TEXTSPLIT(Table25[[#This Row],[Selection Option]:[Selection Option]],","))),,X$11),"")</f>
        <v/>
      </c>
      <c r="Y20" s="30" cm="1">
        <f t="array" ref="Y20">IF(Table25[[#This Row],[1]]="","",Table25[[#This Row],[Weight]:[Weight]]-(Table25[[#This Row],[Weight]:[Weight]]*((_xlfn.XMATCH(Table25[[#This Row],[1]],Table25[[#This Row],[1]:[11]],0))-1)/(COUNTA(Table25[[#This Row],[1]:[11]])-COUNTBLANK(Table25[[#This Row],[1]:[11]])-1)))</f>
        <v>0</v>
      </c>
      <c r="Z20" s="30" cm="1">
        <f t="array" ref="Z20">IF(Table25[[#This Row],[2]]="","",Table25[[#This Row],[Weight]:[Weight]]-(Table25[[#This Row],[Weight]:[Weight]]*((_xlfn.XMATCH(Table25[[#This Row],[2]],Table25[[#This Row],[1]:[11]],0))-1)/(COUNTA(Table25[[#This Row],[1]:[11]])-COUNTBLANK(Table25[[#This Row],[1]:[11]])-1)))</f>
        <v>0</v>
      </c>
      <c r="AA20" s="30" t="str" cm="1">
        <f t="array" ref="AA20">IF(Table25[[#This Row],[3]]="","",Table25[[#This Row],[Weight]:[Weight]]-(Table25[[#This Row],[Weight]:[Weight]]*((_xlfn.XMATCH(Table25[[#This Row],[3]],Table25[[#This Row],[1]:[11]],0))-1)/(COUNTA(Table25[[#This Row],[1]:[11]])-COUNTBLANK(Table25[[#This Row],[1]:[11]])-1)))</f>
        <v/>
      </c>
      <c r="AB20" s="30" t="str" cm="1">
        <f t="array" ref="AB20">IF(Table25[[#This Row],[4]]="","",Table25[[#This Row],[Weight]:[Weight]]-(Table25[[#This Row],[Weight]:[Weight]]*((_xlfn.XMATCH(Table25[[#This Row],[4]],Table25[[#This Row],[1]:[11]],0))-1)/(COUNTA(Table25[[#This Row],[1]:[11]])-COUNTBLANK(Table25[[#This Row],[1]:[11]])-1)))</f>
        <v/>
      </c>
      <c r="AC20" s="30" t="str" cm="1">
        <f t="array" ref="AC20">IF(Table25[[#This Row],[5]]="","",Table25[[#This Row],[Weight]:[Weight]]-(Table25[[#This Row],[Weight]:[Weight]]*((_xlfn.XMATCH(Table25[[#This Row],[5]],Table25[[#This Row],[1]:[11]],0))-1)/(COUNTA(Table25[[#This Row],[1]:[11]])-COUNTBLANK(Table25[[#This Row],[1]:[11]])-1)))</f>
        <v/>
      </c>
      <c r="AD20" s="30" t="str" cm="1">
        <f t="array" ref="AD20">IF(Table25[[#This Row],[6]]="","",Table25[[#This Row],[Weight]:[Weight]]-(Table25[[#This Row],[Weight]:[Weight]]*((_xlfn.XMATCH(Table25[[#This Row],[6]],Table25[[#This Row],[1]:[11]],0))-1)/(COUNTA(Table25[[#This Row],[1]:[11]])-COUNTBLANK(Table25[[#This Row],[1]:[11]])-1)))</f>
        <v/>
      </c>
      <c r="AE20" s="30" t="str" cm="1">
        <f t="array" ref="AE20">IF(Table25[[#This Row],[7]]="","",Table25[[#This Row],[Weight]:[Weight]]-(Table25[[#This Row],[Weight]:[Weight]]*((_xlfn.XMATCH(Table25[[#This Row],[7]],Table25[[#This Row],[1]:[11]],0))-1)/(COUNTA(Table25[[#This Row],[1]:[11]])-COUNTBLANK(Table25[[#This Row],[1]:[11]])-1)))</f>
        <v/>
      </c>
      <c r="AF20" s="30" t="str" cm="1">
        <f t="array" ref="AF20">IF(Table25[[#This Row],[8]]="","",Table25[[#This Row],[Weight]:[Weight]]-(Table25[[#This Row],[Weight]:[Weight]]*((_xlfn.XMATCH(Table25[[#This Row],[8]],Table25[[#This Row],[1]:[11]],0))-1)/(COUNTA(Table25[[#This Row],[1]:[11]])-COUNTBLANK(Table25[[#This Row],[1]:[11]])-1)))</f>
        <v/>
      </c>
      <c r="AG20" s="30" t="str" cm="1">
        <f t="array" ref="AG20">IF(Table25[[#This Row],[9]]="","",Table25[[#This Row],[Weight]:[Weight]]-(Table25[[#This Row],[Weight]:[Weight]]*((_xlfn.XMATCH(Table25[[#This Row],[9]],Table25[[#This Row],[1]:[11]],0))-1)/(COUNTA(Table25[[#This Row],[1]:[11]])-COUNTBLANK(Table25[[#This Row],[1]:[11]])-1)))</f>
        <v/>
      </c>
      <c r="AH20" s="30" t="str" cm="1">
        <f t="array" ref="AH20">IF(Table25[[#This Row],[10]]="","",Table25[[#This Row],[Weight]:[Weight]]-(Table25[[#This Row],[Weight]:[Weight]]*((_xlfn.XMATCH(Table25[[#This Row],[10]],Table25[[#This Row],[1]:[11]],0))-1)/(COUNTA(Table25[[#This Row],[1]:[11]])-COUNTBLANK(Table25[[#This Row],[1]:[11]])-1)))</f>
        <v/>
      </c>
      <c r="AI20" s="30" t="str" cm="1">
        <f t="array" ref="AI20">IF(Table25[[#This Row],[11]]="","",Table25[[#This Row],[Weight]:[Weight]]-(Table25[[#This Row],[Weight]:[Weight]]*((_xlfn.XMATCH(Table25[[#This Row],[11]],Table25[[#This Row],[1]:[11]],0))-1)/(COUNTA(Table25[[#This Row],[1]:[11]])-COUNTBLANK(Table25[[#This Row],[1]:[11]])-1)))</f>
        <v/>
      </c>
    </row>
    <row r="21" spans="1:35" ht="24" x14ac:dyDescent="0.2">
      <c r="A21" s="32">
        <v>7</v>
      </c>
      <c r="B21" s="33" t="s">
        <v>562</v>
      </c>
      <c r="C21" s="33" t="s">
        <v>563</v>
      </c>
      <c r="D21" s="33" t="s">
        <v>543</v>
      </c>
      <c r="E21" s="33" t="s">
        <v>564</v>
      </c>
      <c r="F21" s="34" t="s">
        <v>248</v>
      </c>
      <c r="G21" s="35" cm="1">
        <f t="array" ref="G21">_xlfn.IFS(F21="","",F21="No interest",0,F21="Nice to have",1,F21="Useful",2,F21="Important",3,F21="Very important",4,F21="Critical",5,F21="Show stopper",6)</f>
        <v>4</v>
      </c>
      <c r="H21" s="36">
        <f t="shared" si="1"/>
        <v>0</v>
      </c>
      <c r="I21" s="37" t="s">
        <v>545</v>
      </c>
      <c r="J21" s="37" t="str" cm="1">
        <f t="array" ref="J21">_xlfn.TEXTJOIN(" "&amp;CHAR(10),,TEXT(SUBSTITUTE(Table25[[#This Row],[12]:[22]],".",","),"0,00%"))</f>
        <v>0,00% 
0,00%</v>
      </c>
      <c r="K21" s="38" t="s">
        <v>546</v>
      </c>
      <c r="L21" s="39">
        <f>H21-(H21*((MATCH(Table25[[#This Row],[Evaluators Response (SELECT)]],Table25[[#This Row],[1]:[11]],0)-1)/(COUNTA(Table25[[#This Row],[1]:[11]])-COUNTBLANK(Table25[[#This Row],[1]:[11]])-1)))</f>
        <v>0</v>
      </c>
      <c r="M21" s="40"/>
      <c r="N21" s="29" t="str" cm="1">
        <f t="array" ref="N21">IFERROR(INDEX(_xlfn.UNIQUE(TRIM(_xlfn.TEXTSPLIT(Table25[[#This Row],[Selection Option]:[Selection Option]],","))),,N$11),"")</f>
        <v>Yes</v>
      </c>
      <c r="O21" s="29" t="str" cm="1">
        <f t="array" ref="O21">IFERROR(INDEX(_xlfn.UNIQUE(TRIM(_xlfn.TEXTSPLIT(Table25[[#This Row],[Selection Option]:[Selection Option]],","))),,O$11),"")</f>
        <v xml:space="preserve">
No</v>
      </c>
      <c r="P21" s="29" t="str" cm="1">
        <f t="array" ref="P21">IFERROR(INDEX(_xlfn.UNIQUE(TRIM(_xlfn.TEXTSPLIT(Table25[[#This Row],[Selection Option]:[Selection Option]],","))),,P$11),"")</f>
        <v/>
      </c>
      <c r="Q21" s="29" t="str" cm="1">
        <f t="array" ref="Q21">IFERROR(INDEX(_xlfn.UNIQUE(TRIM(_xlfn.TEXTSPLIT(Table25[[#This Row],[Selection Option]:[Selection Option]],","))),,Q$11),"")</f>
        <v/>
      </c>
      <c r="R21" s="29" t="str" cm="1">
        <f t="array" ref="R21">IFERROR(INDEX(_xlfn.UNIQUE(TRIM(_xlfn.TEXTSPLIT(Table25[[#This Row],[Selection Option]:[Selection Option]],","))),,R$11),"")</f>
        <v/>
      </c>
      <c r="S21" s="29" t="str" cm="1">
        <f t="array" ref="S21">IFERROR(INDEX(_xlfn.UNIQUE(TRIM(_xlfn.TEXTSPLIT(Table25[[#This Row],[Selection Option]:[Selection Option]],","))),,S$11),"")</f>
        <v/>
      </c>
      <c r="T21" s="29" t="str" cm="1">
        <f t="array" ref="T21">IFERROR(INDEX(_xlfn.UNIQUE(TRIM(_xlfn.TEXTSPLIT(Table25[[#This Row],[Selection Option]:[Selection Option]],","))),,T$11),"")</f>
        <v/>
      </c>
      <c r="U21" s="29" t="str" cm="1">
        <f t="array" ref="U21">IFERROR(INDEX(_xlfn.UNIQUE(TRIM(_xlfn.TEXTSPLIT(Table25[[#This Row],[Selection Option]:[Selection Option]],","))),,U$11),"")</f>
        <v/>
      </c>
      <c r="V21" s="29" t="str" cm="1">
        <f t="array" ref="V21">IFERROR(INDEX(_xlfn.UNIQUE(TRIM(_xlfn.TEXTSPLIT(Table25[[#This Row],[Selection Option]:[Selection Option]],","))),,V$11),"")</f>
        <v/>
      </c>
      <c r="W21" s="29" t="str" cm="1">
        <f t="array" ref="W21">IFERROR(INDEX(_xlfn.UNIQUE(TRIM(_xlfn.TEXTSPLIT(Table25[[#This Row],[Selection Option]:[Selection Option]],","))),,W$11),"")</f>
        <v/>
      </c>
      <c r="X21" s="29" t="str" cm="1">
        <f t="array" ref="X21">IFERROR(INDEX(_xlfn.UNIQUE(TRIM(_xlfn.TEXTSPLIT(Table25[[#This Row],[Selection Option]:[Selection Option]],","))),,X$11),"")</f>
        <v/>
      </c>
      <c r="Y21" s="30" cm="1">
        <f t="array" ref="Y21">IF(Table25[[#This Row],[1]]="","",Table25[[#This Row],[Weight]:[Weight]]-(Table25[[#This Row],[Weight]:[Weight]]*((_xlfn.XMATCH(Table25[[#This Row],[1]],Table25[[#This Row],[1]:[11]],0))-1)/(COUNTA(Table25[[#This Row],[1]:[11]])-COUNTBLANK(Table25[[#This Row],[1]:[11]])-1)))</f>
        <v>0</v>
      </c>
      <c r="Z21" s="30" cm="1">
        <f t="array" ref="Z21">IF(Table25[[#This Row],[2]]="","",Table25[[#This Row],[Weight]:[Weight]]-(Table25[[#This Row],[Weight]:[Weight]]*((_xlfn.XMATCH(Table25[[#This Row],[2]],Table25[[#This Row],[1]:[11]],0))-1)/(COUNTA(Table25[[#This Row],[1]:[11]])-COUNTBLANK(Table25[[#This Row],[1]:[11]])-1)))</f>
        <v>0</v>
      </c>
      <c r="AA21" s="30" t="str" cm="1">
        <f t="array" ref="AA21">IF(Table25[[#This Row],[3]]="","",Table25[[#This Row],[Weight]:[Weight]]-(Table25[[#This Row],[Weight]:[Weight]]*((_xlfn.XMATCH(Table25[[#This Row],[3]],Table25[[#This Row],[1]:[11]],0))-1)/(COUNTA(Table25[[#This Row],[1]:[11]])-COUNTBLANK(Table25[[#This Row],[1]:[11]])-1)))</f>
        <v/>
      </c>
      <c r="AB21" s="30" t="str" cm="1">
        <f t="array" ref="AB21">IF(Table25[[#This Row],[4]]="","",Table25[[#This Row],[Weight]:[Weight]]-(Table25[[#This Row],[Weight]:[Weight]]*((_xlfn.XMATCH(Table25[[#This Row],[4]],Table25[[#This Row],[1]:[11]],0))-1)/(COUNTA(Table25[[#This Row],[1]:[11]])-COUNTBLANK(Table25[[#This Row],[1]:[11]])-1)))</f>
        <v/>
      </c>
      <c r="AC21" s="30" t="str" cm="1">
        <f t="array" ref="AC21">IF(Table25[[#This Row],[5]]="","",Table25[[#This Row],[Weight]:[Weight]]-(Table25[[#This Row],[Weight]:[Weight]]*((_xlfn.XMATCH(Table25[[#This Row],[5]],Table25[[#This Row],[1]:[11]],0))-1)/(COUNTA(Table25[[#This Row],[1]:[11]])-COUNTBLANK(Table25[[#This Row],[1]:[11]])-1)))</f>
        <v/>
      </c>
      <c r="AD21" s="30" t="str" cm="1">
        <f t="array" ref="AD21">IF(Table25[[#This Row],[6]]="","",Table25[[#This Row],[Weight]:[Weight]]-(Table25[[#This Row],[Weight]:[Weight]]*((_xlfn.XMATCH(Table25[[#This Row],[6]],Table25[[#This Row],[1]:[11]],0))-1)/(COUNTA(Table25[[#This Row],[1]:[11]])-COUNTBLANK(Table25[[#This Row],[1]:[11]])-1)))</f>
        <v/>
      </c>
      <c r="AE21" s="30" t="str" cm="1">
        <f t="array" ref="AE21">IF(Table25[[#This Row],[7]]="","",Table25[[#This Row],[Weight]:[Weight]]-(Table25[[#This Row],[Weight]:[Weight]]*((_xlfn.XMATCH(Table25[[#This Row],[7]],Table25[[#This Row],[1]:[11]],0))-1)/(COUNTA(Table25[[#This Row],[1]:[11]])-COUNTBLANK(Table25[[#This Row],[1]:[11]])-1)))</f>
        <v/>
      </c>
      <c r="AF21" s="30" t="str" cm="1">
        <f t="array" ref="AF21">IF(Table25[[#This Row],[8]]="","",Table25[[#This Row],[Weight]:[Weight]]-(Table25[[#This Row],[Weight]:[Weight]]*((_xlfn.XMATCH(Table25[[#This Row],[8]],Table25[[#This Row],[1]:[11]],0))-1)/(COUNTA(Table25[[#This Row],[1]:[11]])-COUNTBLANK(Table25[[#This Row],[1]:[11]])-1)))</f>
        <v/>
      </c>
      <c r="AG21" s="30" t="str" cm="1">
        <f t="array" ref="AG21">IF(Table25[[#This Row],[9]]="","",Table25[[#This Row],[Weight]:[Weight]]-(Table25[[#This Row],[Weight]:[Weight]]*((_xlfn.XMATCH(Table25[[#This Row],[9]],Table25[[#This Row],[1]:[11]],0))-1)/(COUNTA(Table25[[#This Row],[1]:[11]])-COUNTBLANK(Table25[[#This Row],[1]:[11]])-1)))</f>
        <v/>
      </c>
      <c r="AH21" s="30" t="str" cm="1">
        <f t="array" ref="AH21">IF(Table25[[#This Row],[10]]="","",Table25[[#This Row],[Weight]:[Weight]]-(Table25[[#This Row],[Weight]:[Weight]]*((_xlfn.XMATCH(Table25[[#This Row],[10]],Table25[[#This Row],[1]:[11]],0))-1)/(COUNTA(Table25[[#This Row],[1]:[11]])-COUNTBLANK(Table25[[#This Row],[1]:[11]])-1)))</f>
        <v/>
      </c>
      <c r="AI21" s="30" t="str" cm="1">
        <f t="array" ref="AI21">IF(Table25[[#This Row],[11]]="","",Table25[[#This Row],[Weight]:[Weight]]-(Table25[[#This Row],[Weight]:[Weight]]*((_xlfn.XMATCH(Table25[[#This Row],[11]],Table25[[#This Row],[1]:[11]],0))-1)/(COUNTA(Table25[[#This Row],[1]:[11]])-COUNTBLANK(Table25[[#This Row],[1]:[11]])-1)))</f>
        <v/>
      </c>
    </row>
    <row r="22" spans="1:35" ht="36" x14ac:dyDescent="0.2">
      <c r="A22" s="32">
        <v>8</v>
      </c>
      <c r="B22" s="33" t="s">
        <v>565</v>
      </c>
      <c r="C22" s="33" t="s">
        <v>566</v>
      </c>
      <c r="D22" s="33" t="s">
        <v>567</v>
      </c>
      <c r="E22" s="33" t="s">
        <v>568</v>
      </c>
      <c r="F22" s="34" t="s">
        <v>60</v>
      </c>
      <c r="G22" s="35" cm="1">
        <f t="array" ref="G22">_xlfn.IFS(F22="","",F22="No interest",0,F22="Nice to have",1,F22="Useful",2,F22="Important",3,F22="Very important",4,F22="Critical",5,F22="Show stopper",6)</f>
        <v>6</v>
      </c>
      <c r="H22" s="36">
        <f t="shared" si="1"/>
        <v>0</v>
      </c>
      <c r="I22" s="37" t="s">
        <v>569</v>
      </c>
      <c r="J22" s="37" t="str" cm="1">
        <f t="array" ref="J22">_xlfn.TEXTJOIN(" "&amp;CHAR(10),,TEXT(SUBSTITUTE(Table25[[#This Row],[12]:[22]],".",","),"0,00%"))</f>
        <v>0,00% 
0,00% 
0,00%</v>
      </c>
      <c r="K22" s="38" t="s">
        <v>570</v>
      </c>
      <c r="L22" s="39">
        <f>H22-(H22*((MATCH(Table25[[#This Row],[Evaluators Response (SELECT)]],Table25[[#This Row],[1]:[11]],0)-1)/(COUNTA(Table25[[#This Row],[1]:[11]])-COUNTBLANK(Table25[[#This Row],[1]:[11]])-1)))</f>
        <v>0</v>
      </c>
      <c r="M22" s="40"/>
      <c r="N22" s="29" t="str" cm="1">
        <f t="array" ref="N22">IFERROR(INDEX(_xlfn.UNIQUE(TRIM(_xlfn.TEXTSPLIT(Table25[[#This Row],[Selection Option]:[Selection Option]],","))),,N$11),"")</f>
        <v>X</v>
      </c>
      <c r="O22" s="29" t="str" cm="1">
        <f t="array" ref="O22">IFERROR(INDEX(_xlfn.UNIQUE(TRIM(_xlfn.TEXTSPLIT(Table25[[#This Row],[Selection Option]:[Selection Option]],","))),,O$11),"")</f>
        <v xml:space="preserve">
Y</v>
      </c>
      <c r="P22" s="29" t="str" cm="1">
        <f t="array" ref="P22">IFERROR(INDEX(_xlfn.UNIQUE(TRIM(_xlfn.TEXTSPLIT(Table25[[#This Row],[Selection Option]:[Selection Option]],","))),,P$11),"")</f>
        <v xml:space="preserve">
Z</v>
      </c>
      <c r="Q22" s="29" t="str" cm="1">
        <f t="array" ref="Q22">IFERROR(INDEX(_xlfn.UNIQUE(TRIM(_xlfn.TEXTSPLIT(Table25[[#This Row],[Selection Option]:[Selection Option]],","))),,Q$11),"")</f>
        <v/>
      </c>
      <c r="R22" s="29" t="str" cm="1">
        <f t="array" ref="R22">IFERROR(INDEX(_xlfn.UNIQUE(TRIM(_xlfn.TEXTSPLIT(Table25[[#This Row],[Selection Option]:[Selection Option]],","))),,R$11),"")</f>
        <v/>
      </c>
      <c r="S22" s="29" t="str" cm="1">
        <f t="array" ref="S22">IFERROR(INDEX(_xlfn.UNIQUE(TRIM(_xlfn.TEXTSPLIT(Table25[[#This Row],[Selection Option]:[Selection Option]],","))),,S$11),"")</f>
        <v/>
      </c>
      <c r="T22" s="29" t="str" cm="1">
        <f t="array" ref="T22">IFERROR(INDEX(_xlfn.UNIQUE(TRIM(_xlfn.TEXTSPLIT(Table25[[#This Row],[Selection Option]:[Selection Option]],","))),,T$11),"")</f>
        <v/>
      </c>
      <c r="U22" s="29" t="str" cm="1">
        <f t="array" ref="U22">IFERROR(INDEX(_xlfn.UNIQUE(TRIM(_xlfn.TEXTSPLIT(Table25[[#This Row],[Selection Option]:[Selection Option]],","))),,U$11),"")</f>
        <v/>
      </c>
      <c r="V22" s="29" t="str" cm="1">
        <f t="array" ref="V22">IFERROR(INDEX(_xlfn.UNIQUE(TRIM(_xlfn.TEXTSPLIT(Table25[[#This Row],[Selection Option]:[Selection Option]],","))),,V$11),"")</f>
        <v/>
      </c>
      <c r="W22" s="29" t="str" cm="1">
        <f t="array" ref="W22">IFERROR(INDEX(_xlfn.UNIQUE(TRIM(_xlfn.TEXTSPLIT(Table25[[#This Row],[Selection Option]:[Selection Option]],","))),,W$11),"")</f>
        <v/>
      </c>
      <c r="X22" s="29" t="str" cm="1">
        <f t="array" ref="X22">IFERROR(INDEX(_xlfn.UNIQUE(TRIM(_xlfn.TEXTSPLIT(Table25[[#This Row],[Selection Option]:[Selection Option]],","))),,X$11),"")</f>
        <v/>
      </c>
      <c r="Y22" s="30" cm="1">
        <f t="array" ref="Y22">IF(Table25[[#This Row],[1]]="","",Table25[[#This Row],[Weight]:[Weight]]-(Table25[[#This Row],[Weight]:[Weight]]*((_xlfn.XMATCH(Table25[[#This Row],[1]],Table25[[#This Row],[1]:[11]],0))-1)/(COUNTA(Table25[[#This Row],[1]:[11]])-COUNTBLANK(Table25[[#This Row],[1]:[11]])-1)))</f>
        <v>0</v>
      </c>
      <c r="Z22" s="30" cm="1">
        <f t="array" ref="Z22">IF(Table25[[#This Row],[2]]="","",Table25[[#This Row],[Weight]:[Weight]]-(Table25[[#This Row],[Weight]:[Weight]]*((_xlfn.XMATCH(Table25[[#This Row],[2]],Table25[[#This Row],[1]:[11]],0))-1)/(COUNTA(Table25[[#This Row],[1]:[11]])-COUNTBLANK(Table25[[#This Row],[1]:[11]])-1)))</f>
        <v>0</v>
      </c>
      <c r="AA22" s="30" cm="1">
        <f t="array" ref="AA22">IF(Table25[[#This Row],[3]]="","",Table25[[#This Row],[Weight]:[Weight]]-(Table25[[#This Row],[Weight]:[Weight]]*((_xlfn.XMATCH(Table25[[#This Row],[3]],Table25[[#This Row],[1]:[11]],0))-1)/(COUNTA(Table25[[#This Row],[1]:[11]])-COUNTBLANK(Table25[[#This Row],[1]:[11]])-1)))</f>
        <v>0</v>
      </c>
      <c r="AB22" s="30" t="str" cm="1">
        <f t="array" ref="AB22">IF(Table25[[#This Row],[4]]="","",Table25[[#This Row],[Weight]:[Weight]]-(Table25[[#This Row],[Weight]:[Weight]]*((_xlfn.XMATCH(Table25[[#This Row],[4]],Table25[[#This Row],[1]:[11]],0))-1)/(COUNTA(Table25[[#This Row],[1]:[11]])-COUNTBLANK(Table25[[#This Row],[1]:[11]])-1)))</f>
        <v/>
      </c>
      <c r="AC22" s="30" t="str" cm="1">
        <f t="array" ref="AC22">IF(Table25[[#This Row],[5]]="","",Table25[[#This Row],[Weight]:[Weight]]-(Table25[[#This Row],[Weight]:[Weight]]*((_xlfn.XMATCH(Table25[[#This Row],[5]],Table25[[#This Row],[1]:[11]],0))-1)/(COUNTA(Table25[[#This Row],[1]:[11]])-COUNTBLANK(Table25[[#This Row],[1]:[11]])-1)))</f>
        <v/>
      </c>
      <c r="AD22" s="30" t="str" cm="1">
        <f t="array" ref="AD22">IF(Table25[[#This Row],[6]]="","",Table25[[#This Row],[Weight]:[Weight]]-(Table25[[#This Row],[Weight]:[Weight]]*((_xlfn.XMATCH(Table25[[#This Row],[6]],Table25[[#This Row],[1]:[11]],0))-1)/(COUNTA(Table25[[#This Row],[1]:[11]])-COUNTBLANK(Table25[[#This Row],[1]:[11]])-1)))</f>
        <v/>
      </c>
      <c r="AE22" s="30" t="str" cm="1">
        <f t="array" ref="AE22">IF(Table25[[#This Row],[7]]="","",Table25[[#This Row],[Weight]:[Weight]]-(Table25[[#This Row],[Weight]:[Weight]]*((_xlfn.XMATCH(Table25[[#This Row],[7]],Table25[[#This Row],[1]:[11]],0))-1)/(COUNTA(Table25[[#This Row],[1]:[11]])-COUNTBLANK(Table25[[#This Row],[1]:[11]])-1)))</f>
        <v/>
      </c>
      <c r="AF22" s="30" t="str" cm="1">
        <f t="array" ref="AF22">IF(Table25[[#This Row],[8]]="","",Table25[[#This Row],[Weight]:[Weight]]-(Table25[[#This Row],[Weight]:[Weight]]*((_xlfn.XMATCH(Table25[[#This Row],[8]],Table25[[#This Row],[1]:[11]],0))-1)/(COUNTA(Table25[[#This Row],[1]:[11]])-COUNTBLANK(Table25[[#This Row],[1]:[11]])-1)))</f>
        <v/>
      </c>
      <c r="AG22" s="30" t="str" cm="1">
        <f t="array" ref="AG22">IF(Table25[[#This Row],[9]]="","",Table25[[#This Row],[Weight]:[Weight]]-(Table25[[#This Row],[Weight]:[Weight]]*((_xlfn.XMATCH(Table25[[#This Row],[9]],Table25[[#This Row],[1]:[11]],0))-1)/(COUNTA(Table25[[#This Row],[1]:[11]])-COUNTBLANK(Table25[[#This Row],[1]:[11]])-1)))</f>
        <v/>
      </c>
      <c r="AH22" s="30" t="str" cm="1">
        <f t="array" ref="AH22">IF(Table25[[#This Row],[10]]="","",Table25[[#This Row],[Weight]:[Weight]]-(Table25[[#This Row],[Weight]:[Weight]]*((_xlfn.XMATCH(Table25[[#This Row],[10]],Table25[[#This Row],[1]:[11]],0))-1)/(COUNTA(Table25[[#This Row],[1]:[11]])-COUNTBLANK(Table25[[#This Row],[1]:[11]])-1)))</f>
        <v/>
      </c>
      <c r="AI22" s="30" t="str" cm="1">
        <f t="array" ref="AI22">IF(Table25[[#This Row],[11]]="","",Table25[[#This Row],[Weight]:[Weight]]-(Table25[[#This Row],[Weight]:[Weight]]*((_xlfn.XMATCH(Table25[[#This Row],[11]],Table25[[#This Row],[1]:[11]],0))-1)/(COUNTA(Table25[[#This Row],[1]:[11]])-COUNTBLANK(Table25[[#This Row],[1]:[11]])-1)))</f>
        <v/>
      </c>
    </row>
    <row r="23" spans="1:35" ht="36" x14ac:dyDescent="0.2">
      <c r="A23" s="32">
        <v>9</v>
      </c>
      <c r="B23" s="40" t="s">
        <v>571</v>
      </c>
      <c r="C23" s="40" t="s">
        <v>572</v>
      </c>
      <c r="D23" s="40" t="s">
        <v>573</v>
      </c>
      <c r="E23" s="40" t="s">
        <v>574</v>
      </c>
      <c r="F23" s="34" t="s">
        <v>271</v>
      </c>
      <c r="G23" s="35" cm="1">
        <f t="array" ref="G23">_xlfn.IFS(F23="","",F23="No interest",0,F23="Nice to have",1,F23="Useful",2,F23="Important",3,F23="Very important",4,F23="Critical",5,F23="Show stopper",6)</f>
        <v>2</v>
      </c>
      <c r="H23" s="36">
        <f t="shared" si="1"/>
        <v>0</v>
      </c>
      <c r="I23" s="37" t="s">
        <v>575</v>
      </c>
      <c r="J23" s="37" t="str" cm="1">
        <f t="array" ref="J23">_xlfn.TEXTJOIN(" "&amp;CHAR(10),,TEXT(SUBSTITUTE(Table25[[#This Row],[12]:[22]],".",","),"0,00%"))</f>
        <v>0,00% 
0,00% 
0,00%</v>
      </c>
      <c r="K23" s="38" t="s">
        <v>576</v>
      </c>
      <c r="L23" s="39">
        <f>H23-(H23*((MATCH(Table25[[#This Row],[Evaluators Response (SELECT)]],Table25[[#This Row],[1]:[11]],0)-1)/(COUNTA(Table25[[#This Row],[1]:[11]])-COUNTBLANK(Table25[[#This Row],[1]:[11]])-1)))</f>
        <v>0</v>
      </c>
      <c r="M23" s="40"/>
      <c r="N23" s="29" t="str" cm="1">
        <f t="array" ref="N23">IFERROR(INDEX(_xlfn.UNIQUE(TRIM(_xlfn.TEXTSPLIT(Table25[[#This Row],[Selection Option]:[Selection Option]],","))),,N$11),"")</f>
        <v>K</v>
      </c>
      <c r="O23" s="29" t="str" cm="1">
        <f t="array" ref="O23">IFERROR(INDEX(_xlfn.UNIQUE(TRIM(_xlfn.TEXTSPLIT(Table25[[#This Row],[Selection Option]:[Selection Option]],","))),,O$11),"")</f>
        <v xml:space="preserve">
L</v>
      </c>
      <c r="P23" s="29" t="str" cm="1">
        <f t="array" ref="P23">IFERROR(INDEX(_xlfn.UNIQUE(TRIM(_xlfn.TEXTSPLIT(Table25[[#This Row],[Selection Option]:[Selection Option]],","))),,P$11),"")</f>
        <v xml:space="preserve">
M</v>
      </c>
      <c r="Q23" s="29" t="str" cm="1">
        <f t="array" ref="Q23">IFERROR(INDEX(_xlfn.UNIQUE(TRIM(_xlfn.TEXTSPLIT(Table25[[#This Row],[Selection Option]:[Selection Option]],","))),,Q$11),"")</f>
        <v/>
      </c>
      <c r="R23" s="29" t="str" cm="1">
        <f t="array" ref="R23">IFERROR(INDEX(_xlfn.UNIQUE(TRIM(_xlfn.TEXTSPLIT(Table25[[#This Row],[Selection Option]:[Selection Option]],","))),,R$11),"")</f>
        <v/>
      </c>
      <c r="S23" s="29" t="str" cm="1">
        <f t="array" ref="S23">IFERROR(INDEX(_xlfn.UNIQUE(TRIM(_xlfn.TEXTSPLIT(Table25[[#This Row],[Selection Option]:[Selection Option]],","))),,S$11),"")</f>
        <v/>
      </c>
      <c r="T23" s="29" t="str" cm="1">
        <f t="array" ref="T23">IFERROR(INDEX(_xlfn.UNIQUE(TRIM(_xlfn.TEXTSPLIT(Table25[[#This Row],[Selection Option]:[Selection Option]],","))),,T$11),"")</f>
        <v/>
      </c>
      <c r="U23" s="29" t="str" cm="1">
        <f t="array" ref="U23">IFERROR(INDEX(_xlfn.UNIQUE(TRIM(_xlfn.TEXTSPLIT(Table25[[#This Row],[Selection Option]:[Selection Option]],","))),,U$11),"")</f>
        <v/>
      </c>
      <c r="V23" s="29" t="str" cm="1">
        <f t="array" ref="V23">IFERROR(INDEX(_xlfn.UNIQUE(TRIM(_xlfn.TEXTSPLIT(Table25[[#This Row],[Selection Option]:[Selection Option]],","))),,V$11),"")</f>
        <v/>
      </c>
      <c r="W23" s="29" t="str" cm="1">
        <f t="array" ref="W23">IFERROR(INDEX(_xlfn.UNIQUE(TRIM(_xlfn.TEXTSPLIT(Table25[[#This Row],[Selection Option]:[Selection Option]],","))),,W$11),"")</f>
        <v/>
      </c>
      <c r="X23" s="29" t="str" cm="1">
        <f t="array" ref="X23">IFERROR(INDEX(_xlfn.UNIQUE(TRIM(_xlfn.TEXTSPLIT(Table25[[#This Row],[Selection Option]:[Selection Option]],","))),,X$11),"")</f>
        <v/>
      </c>
      <c r="Y23" s="30" cm="1">
        <f t="array" ref="Y23">IF(Table25[[#This Row],[1]]="","",Table25[[#This Row],[Weight]:[Weight]]-(Table25[[#This Row],[Weight]:[Weight]]*((_xlfn.XMATCH(Table25[[#This Row],[1]],Table25[[#This Row],[1]:[11]],0))-1)/(COUNTA(Table25[[#This Row],[1]:[11]])-COUNTBLANK(Table25[[#This Row],[1]:[11]])-1)))</f>
        <v>0</v>
      </c>
      <c r="Z23" s="30" cm="1">
        <f t="array" ref="Z23">IF(Table25[[#This Row],[2]]="","",Table25[[#This Row],[Weight]:[Weight]]-(Table25[[#This Row],[Weight]:[Weight]]*((_xlfn.XMATCH(Table25[[#This Row],[2]],Table25[[#This Row],[1]:[11]],0))-1)/(COUNTA(Table25[[#This Row],[1]:[11]])-COUNTBLANK(Table25[[#This Row],[1]:[11]])-1)))</f>
        <v>0</v>
      </c>
      <c r="AA23" s="30" cm="1">
        <f t="array" ref="AA23">IF(Table25[[#This Row],[3]]="","",Table25[[#This Row],[Weight]:[Weight]]-(Table25[[#This Row],[Weight]:[Weight]]*((_xlfn.XMATCH(Table25[[#This Row],[3]],Table25[[#This Row],[1]:[11]],0))-1)/(COUNTA(Table25[[#This Row],[1]:[11]])-COUNTBLANK(Table25[[#This Row],[1]:[11]])-1)))</f>
        <v>0</v>
      </c>
      <c r="AB23" s="30" t="str" cm="1">
        <f t="array" ref="AB23">IF(Table25[[#This Row],[4]]="","",Table25[[#This Row],[Weight]:[Weight]]-(Table25[[#This Row],[Weight]:[Weight]]*((_xlfn.XMATCH(Table25[[#This Row],[4]],Table25[[#This Row],[1]:[11]],0))-1)/(COUNTA(Table25[[#This Row],[1]:[11]])-COUNTBLANK(Table25[[#This Row],[1]:[11]])-1)))</f>
        <v/>
      </c>
      <c r="AC23" s="30" t="str" cm="1">
        <f t="array" ref="AC23">IF(Table25[[#This Row],[5]]="","",Table25[[#This Row],[Weight]:[Weight]]-(Table25[[#This Row],[Weight]:[Weight]]*((_xlfn.XMATCH(Table25[[#This Row],[5]],Table25[[#This Row],[1]:[11]],0))-1)/(COUNTA(Table25[[#This Row],[1]:[11]])-COUNTBLANK(Table25[[#This Row],[1]:[11]])-1)))</f>
        <v/>
      </c>
      <c r="AD23" s="30" t="str" cm="1">
        <f t="array" ref="AD23">IF(Table25[[#This Row],[6]]="","",Table25[[#This Row],[Weight]:[Weight]]-(Table25[[#This Row],[Weight]:[Weight]]*((_xlfn.XMATCH(Table25[[#This Row],[6]],Table25[[#This Row],[1]:[11]],0))-1)/(COUNTA(Table25[[#This Row],[1]:[11]])-COUNTBLANK(Table25[[#This Row],[1]:[11]])-1)))</f>
        <v/>
      </c>
      <c r="AE23" s="30" t="str" cm="1">
        <f t="array" ref="AE23">IF(Table25[[#This Row],[7]]="","",Table25[[#This Row],[Weight]:[Weight]]-(Table25[[#This Row],[Weight]:[Weight]]*((_xlfn.XMATCH(Table25[[#This Row],[7]],Table25[[#This Row],[1]:[11]],0))-1)/(COUNTA(Table25[[#This Row],[1]:[11]])-COUNTBLANK(Table25[[#This Row],[1]:[11]])-1)))</f>
        <v/>
      </c>
      <c r="AF23" s="30" t="str" cm="1">
        <f t="array" ref="AF23">IF(Table25[[#This Row],[8]]="","",Table25[[#This Row],[Weight]:[Weight]]-(Table25[[#This Row],[Weight]:[Weight]]*((_xlfn.XMATCH(Table25[[#This Row],[8]],Table25[[#This Row],[1]:[11]],0))-1)/(COUNTA(Table25[[#This Row],[1]:[11]])-COUNTBLANK(Table25[[#This Row],[1]:[11]])-1)))</f>
        <v/>
      </c>
      <c r="AG23" s="30" t="str" cm="1">
        <f t="array" ref="AG23">IF(Table25[[#This Row],[9]]="","",Table25[[#This Row],[Weight]:[Weight]]-(Table25[[#This Row],[Weight]:[Weight]]*((_xlfn.XMATCH(Table25[[#This Row],[9]],Table25[[#This Row],[1]:[11]],0))-1)/(COUNTA(Table25[[#This Row],[1]:[11]])-COUNTBLANK(Table25[[#This Row],[1]:[11]])-1)))</f>
        <v/>
      </c>
      <c r="AH23" s="30" t="str" cm="1">
        <f t="array" ref="AH23">IF(Table25[[#This Row],[10]]="","",Table25[[#This Row],[Weight]:[Weight]]-(Table25[[#This Row],[Weight]:[Weight]]*((_xlfn.XMATCH(Table25[[#This Row],[10]],Table25[[#This Row],[1]:[11]],0))-1)/(COUNTA(Table25[[#This Row],[1]:[11]])-COUNTBLANK(Table25[[#This Row],[1]:[11]])-1)))</f>
        <v/>
      </c>
      <c r="AI23" s="30" t="str" cm="1">
        <f t="array" ref="AI23">IF(Table25[[#This Row],[11]]="","",Table25[[#This Row],[Weight]:[Weight]]-(Table25[[#This Row],[Weight]:[Weight]]*((_xlfn.XMATCH(Table25[[#This Row],[11]],Table25[[#This Row],[1]:[11]],0))-1)/(COUNTA(Table25[[#This Row],[1]:[11]])-COUNTBLANK(Table25[[#This Row],[1]:[11]])-1)))</f>
        <v/>
      </c>
    </row>
    <row r="24" spans="1:35" ht="36" x14ac:dyDescent="0.2">
      <c r="A24" s="32">
        <v>10</v>
      </c>
      <c r="B24" s="40"/>
      <c r="C24" s="40"/>
      <c r="D24" s="40"/>
      <c r="E24" s="40"/>
      <c r="F24" s="34" t="s">
        <v>56</v>
      </c>
      <c r="G24" s="35" cm="1">
        <f t="array" ref="G24">_xlfn.IFS(F24="","",F24="No interest",0,F24="Nice to have",1,F24="Useful",2,F24="Important",3,F24="Very important",4,F24="Critical",5,F24="Show stopper",6)</f>
        <v>3</v>
      </c>
      <c r="H24" s="36">
        <f t="shared" si="1"/>
        <v>0</v>
      </c>
      <c r="I24" s="37" t="s">
        <v>577</v>
      </c>
      <c r="J24" s="37" t="str" cm="1">
        <f t="array" ref="J24">_xlfn.TEXTJOIN(" "&amp;CHAR(10),,TEXT(SUBSTITUTE(Table25[[#This Row],[12]:[22]],".",","),"0,00%"))</f>
        <v>0,00% 
0,00% 
0,00%</v>
      </c>
      <c r="K24" s="38" t="s">
        <v>578</v>
      </c>
      <c r="L24" s="39">
        <f>H24-(H24*((MATCH(Table25[[#This Row],[Evaluators Response (SELECT)]],Table25[[#This Row],[1]:[11]],0)-1)/(COUNTA(Table25[[#This Row],[1]:[11]])-COUNTBLANK(Table25[[#This Row],[1]:[11]])-1)))</f>
        <v>0</v>
      </c>
      <c r="M24" s="40"/>
      <c r="N24" s="29" t="str" cm="1">
        <f t="array" ref="N24">IFERROR(INDEX(_xlfn.UNIQUE(TRIM(_xlfn.TEXTSPLIT(Table25[[#This Row],[Selection Option]:[Selection Option]],","))),,N$11),"")</f>
        <v>t</v>
      </c>
      <c r="O24" s="29" t="str" cm="1">
        <f t="array" ref="O24">IFERROR(INDEX(_xlfn.UNIQUE(TRIM(_xlfn.TEXTSPLIT(Table25[[#This Row],[Selection Option]:[Selection Option]],","))),,O$11),"")</f>
        <v xml:space="preserve">
s</v>
      </c>
      <c r="P24" s="29" t="str" cm="1">
        <f t="array" ref="P24">IFERROR(INDEX(_xlfn.UNIQUE(TRIM(_xlfn.TEXTSPLIT(Table25[[#This Row],[Selection Option]:[Selection Option]],","))),,P$11),"")</f>
        <v xml:space="preserve">
w</v>
      </c>
      <c r="Q24" s="29" t="str" cm="1">
        <f t="array" ref="Q24">IFERROR(INDEX(_xlfn.UNIQUE(TRIM(_xlfn.TEXTSPLIT(Table25[[#This Row],[Selection Option]:[Selection Option]],","))),,Q$11),"")</f>
        <v/>
      </c>
      <c r="R24" s="29" t="str" cm="1">
        <f t="array" ref="R24">IFERROR(INDEX(_xlfn.UNIQUE(TRIM(_xlfn.TEXTSPLIT(Table25[[#This Row],[Selection Option]:[Selection Option]],","))),,R$11),"")</f>
        <v/>
      </c>
      <c r="S24" s="29" t="str" cm="1">
        <f t="array" ref="S24">IFERROR(INDEX(_xlfn.UNIQUE(TRIM(_xlfn.TEXTSPLIT(Table25[[#This Row],[Selection Option]:[Selection Option]],","))),,S$11),"")</f>
        <v/>
      </c>
      <c r="T24" s="29" t="str" cm="1">
        <f t="array" ref="T24">IFERROR(INDEX(_xlfn.UNIQUE(TRIM(_xlfn.TEXTSPLIT(Table25[[#This Row],[Selection Option]:[Selection Option]],","))),,T$11),"")</f>
        <v/>
      </c>
      <c r="U24" s="29" t="str" cm="1">
        <f t="array" ref="U24">IFERROR(INDEX(_xlfn.UNIQUE(TRIM(_xlfn.TEXTSPLIT(Table25[[#This Row],[Selection Option]:[Selection Option]],","))),,U$11),"")</f>
        <v/>
      </c>
      <c r="V24" s="29" t="str" cm="1">
        <f t="array" ref="V24">IFERROR(INDEX(_xlfn.UNIQUE(TRIM(_xlfn.TEXTSPLIT(Table25[[#This Row],[Selection Option]:[Selection Option]],","))),,V$11),"")</f>
        <v/>
      </c>
      <c r="W24" s="29" t="str" cm="1">
        <f t="array" ref="W24">IFERROR(INDEX(_xlfn.UNIQUE(TRIM(_xlfn.TEXTSPLIT(Table25[[#This Row],[Selection Option]:[Selection Option]],","))),,W$11),"")</f>
        <v/>
      </c>
      <c r="X24" s="29" t="str" cm="1">
        <f t="array" ref="X24">IFERROR(INDEX(_xlfn.UNIQUE(TRIM(_xlfn.TEXTSPLIT(Table25[[#This Row],[Selection Option]:[Selection Option]],","))),,X$11),"")</f>
        <v/>
      </c>
      <c r="Y24" s="30" cm="1">
        <f t="array" ref="Y24">IF(Table25[[#This Row],[1]]="","",Table25[[#This Row],[Weight]:[Weight]]-(Table25[[#This Row],[Weight]:[Weight]]*((_xlfn.XMATCH(Table25[[#This Row],[1]],Table25[[#This Row],[1]:[11]],0))-1)/(COUNTA(Table25[[#This Row],[1]:[11]])-COUNTBLANK(Table25[[#This Row],[1]:[11]])-1)))</f>
        <v>0</v>
      </c>
      <c r="Z24" s="30" cm="1">
        <f t="array" ref="Z24">IF(Table25[[#This Row],[2]]="","",Table25[[#This Row],[Weight]:[Weight]]-(Table25[[#This Row],[Weight]:[Weight]]*((_xlfn.XMATCH(Table25[[#This Row],[2]],Table25[[#This Row],[1]:[11]],0))-1)/(COUNTA(Table25[[#This Row],[1]:[11]])-COUNTBLANK(Table25[[#This Row],[1]:[11]])-1)))</f>
        <v>0</v>
      </c>
      <c r="AA24" s="30" cm="1">
        <f t="array" ref="AA24">IF(Table25[[#This Row],[3]]="","",Table25[[#This Row],[Weight]:[Weight]]-(Table25[[#This Row],[Weight]:[Weight]]*((_xlfn.XMATCH(Table25[[#This Row],[3]],Table25[[#This Row],[1]:[11]],0))-1)/(COUNTA(Table25[[#This Row],[1]:[11]])-COUNTBLANK(Table25[[#This Row],[1]:[11]])-1)))</f>
        <v>0</v>
      </c>
      <c r="AB24" s="30" t="str" cm="1">
        <f t="array" ref="AB24">IF(Table25[[#This Row],[4]]="","",Table25[[#This Row],[Weight]:[Weight]]-(Table25[[#This Row],[Weight]:[Weight]]*((_xlfn.XMATCH(Table25[[#This Row],[4]],Table25[[#This Row],[1]:[11]],0))-1)/(COUNTA(Table25[[#This Row],[1]:[11]])-COUNTBLANK(Table25[[#This Row],[1]:[11]])-1)))</f>
        <v/>
      </c>
      <c r="AC24" s="30" t="str" cm="1">
        <f t="array" ref="AC24">IF(Table25[[#This Row],[5]]="","",Table25[[#This Row],[Weight]:[Weight]]-(Table25[[#This Row],[Weight]:[Weight]]*((_xlfn.XMATCH(Table25[[#This Row],[5]],Table25[[#This Row],[1]:[11]],0))-1)/(COUNTA(Table25[[#This Row],[1]:[11]])-COUNTBLANK(Table25[[#This Row],[1]:[11]])-1)))</f>
        <v/>
      </c>
      <c r="AD24" s="30" t="str" cm="1">
        <f t="array" ref="AD24">IF(Table25[[#This Row],[6]]="","",Table25[[#This Row],[Weight]:[Weight]]-(Table25[[#This Row],[Weight]:[Weight]]*((_xlfn.XMATCH(Table25[[#This Row],[6]],Table25[[#This Row],[1]:[11]],0))-1)/(COUNTA(Table25[[#This Row],[1]:[11]])-COUNTBLANK(Table25[[#This Row],[1]:[11]])-1)))</f>
        <v/>
      </c>
      <c r="AE24" s="30" t="str" cm="1">
        <f t="array" ref="AE24">IF(Table25[[#This Row],[7]]="","",Table25[[#This Row],[Weight]:[Weight]]-(Table25[[#This Row],[Weight]:[Weight]]*((_xlfn.XMATCH(Table25[[#This Row],[7]],Table25[[#This Row],[1]:[11]],0))-1)/(COUNTA(Table25[[#This Row],[1]:[11]])-COUNTBLANK(Table25[[#This Row],[1]:[11]])-1)))</f>
        <v/>
      </c>
      <c r="AF24" s="30" t="str" cm="1">
        <f t="array" ref="AF24">IF(Table25[[#This Row],[8]]="","",Table25[[#This Row],[Weight]:[Weight]]-(Table25[[#This Row],[Weight]:[Weight]]*((_xlfn.XMATCH(Table25[[#This Row],[8]],Table25[[#This Row],[1]:[11]],0))-1)/(COUNTA(Table25[[#This Row],[1]:[11]])-COUNTBLANK(Table25[[#This Row],[1]:[11]])-1)))</f>
        <v/>
      </c>
      <c r="AG24" s="30" t="str" cm="1">
        <f t="array" ref="AG24">IF(Table25[[#This Row],[9]]="","",Table25[[#This Row],[Weight]:[Weight]]-(Table25[[#This Row],[Weight]:[Weight]]*((_xlfn.XMATCH(Table25[[#This Row],[9]],Table25[[#This Row],[1]:[11]],0))-1)/(COUNTA(Table25[[#This Row],[1]:[11]])-COUNTBLANK(Table25[[#This Row],[1]:[11]])-1)))</f>
        <v/>
      </c>
      <c r="AH24" s="30" t="str" cm="1">
        <f t="array" ref="AH24">IF(Table25[[#This Row],[10]]="","",Table25[[#This Row],[Weight]:[Weight]]-(Table25[[#This Row],[Weight]:[Weight]]*((_xlfn.XMATCH(Table25[[#This Row],[10]],Table25[[#This Row],[1]:[11]],0))-1)/(COUNTA(Table25[[#This Row],[1]:[11]])-COUNTBLANK(Table25[[#This Row],[1]:[11]])-1)))</f>
        <v/>
      </c>
      <c r="AI24" s="30" t="str" cm="1">
        <f t="array" ref="AI24">IF(Table25[[#This Row],[11]]="","",Table25[[#This Row],[Weight]:[Weight]]-(Table25[[#This Row],[Weight]:[Weight]]*((_xlfn.XMATCH(Table25[[#This Row],[11]],Table25[[#This Row],[1]:[11]],0))-1)/(COUNTA(Table25[[#This Row],[1]:[11]])-COUNTBLANK(Table25[[#This Row],[1]:[11]])-1)))</f>
        <v/>
      </c>
    </row>
    <row r="25" spans="1:35" ht="48" x14ac:dyDescent="0.2">
      <c r="A25" s="32">
        <v>11</v>
      </c>
      <c r="B25" s="40"/>
      <c r="C25" s="40"/>
      <c r="D25" s="40"/>
      <c r="E25" s="40"/>
      <c r="F25" s="34" t="s">
        <v>248</v>
      </c>
      <c r="G25" s="35" cm="1">
        <f t="array" ref="G25">_xlfn.IFS(F25="","",F25="No interest",0,F25="Nice to have",1,F25="Useful",2,F25="Important",3,F25="Very important",4,F25="Critical",5,F25="Show stopper",6)</f>
        <v>4</v>
      </c>
      <c r="H25" s="36">
        <f t="shared" si="1"/>
        <v>0</v>
      </c>
      <c r="I25" s="37" t="s">
        <v>556</v>
      </c>
      <c r="J25" s="37" t="str" cm="1">
        <f t="array" ref="J25">_xlfn.TEXTJOIN(" "&amp;CHAR(10),,TEXT(SUBSTITUTE(Table25[[#This Row],[12]:[22]],".",","),"0,00%"))</f>
        <v>0,00% 
0,00% 
0,00% 
0,00%</v>
      </c>
      <c r="K25" s="38" t="s">
        <v>579</v>
      </c>
      <c r="L25" s="39">
        <f>H25-(H25*((MATCH(Table25[[#This Row],[Evaluators Response (SELECT)]],Table25[[#This Row],[1]:[11]],0)-1)/(COUNTA(Table25[[#This Row],[1]:[11]])-COUNTBLANK(Table25[[#This Row],[1]:[11]])-1)))</f>
        <v>0</v>
      </c>
      <c r="M25" s="40"/>
      <c r="N25" s="29" t="str" cm="1">
        <f t="array" ref="N25">IFERROR(INDEX(_xlfn.UNIQUE(TRIM(_xlfn.TEXTSPLIT(Table25[[#This Row],[Selection Option]:[Selection Option]],","))),,N$11),"")</f>
        <v>A</v>
      </c>
      <c r="O25" s="29" t="str" cm="1">
        <f t="array" ref="O25">IFERROR(INDEX(_xlfn.UNIQUE(TRIM(_xlfn.TEXTSPLIT(Table25[[#This Row],[Selection Option]:[Selection Option]],","))),,O$11),"")</f>
        <v xml:space="preserve">
B</v>
      </c>
      <c r="P25" s="29" t="str" cm="1">
        <f t="array" ref="P25">IFERROR(INDEX(_xlfn.UNIQUE(TRIM(_xlfn.TEXTSPLIT(Table25[[#This Row],[Selection Option]:[Selection Option]],","))),,P$11),"")</f>
        <v xml:space="preserve">
C</v>
      </c>
      <c r="Q25" s="29" t="str" cm="1">
        <f t="array" ref="Q25">IFERROR(INDEX(_xlfn.UNIQUE(TRIM(_xlfn.TEXTSPLIT(Table25[[#This Row],[Selection Option]:[Selection Option]],","))),,Q$11),"")</f>
        <v xml:space="preserve">
D</v>
      </c>
      <c r="R25" s="29" t="str" cm="1">
        <f t="array" ref="R25">IFERROR(INDEX(_xlfn.UNIQUE(TRIM(_xlfn.TEXTSPLIT(Table25[[#This Row],[Selection Option]:[Selection Option]],","))),,R$11),"")</f>
        <v/>
      </c>
      <c r="S25" s="29" t="str" cm="1">
        <f t="array" ref="S25">IFERROR(INDEX(_xlfn.UNIQUE(TRIM(_xlfn.TEXTSPLIT(Table25[[#This Row],[Selection Option]:[Selection Option]],","))),,S$11),"")</f>
        <v/>
      </c>
      <c r="T25" s="29" t="str" cm="1">
        <f t="array" ref="T25">IFERROR(INDEX(_xlfn.UNIQUE(TRIM(_xlfn.TEXTSPLIT(Table25[[#This Row],[Selection Option]:[Selection Option]],","))),,T$11),"")</f>
        <v/>
      </c>
      <c r="U25" s="29" t="str" cm="1">
        <f t="array" ref="U25">IFERROR(INDEX(_xlfn.UNIQUE(TRIM(_xlfn.TEXTSPLIT(Table25[[#This Row],[Selection Option]:[Selection Option]],","))),,U$11),"")</f>
        <v/>
      </c>
      <c r="V25" s="29" t="str" cm="1">
        <f t="array" ref="V25">IFERROR(INDEX(_xlfn.UNIQUE(TRIM(_xlfn.TEXTSPLIT(Table25[[#This Row],[Selection Option]:[Selection Option]],","))),,V$11),"")</f>
        <v/>
      </c>
      <c r="W25" s="29" t="str" cm="1">
        <f t="array" ref="W25">IFERROR(INDEX(_xlfn.UNIQUE(TRIM(_xlfn.TEXTSPLIT(Table25[[#This Row],[Selection Option]:[Selection Option]],","))),,W$11),"")</f>
        <v/>
      </c>
      <c r="X25" s="29" t="str" cm="1">
        <f t="array" ref="X25">IFERROR(INDEX(_xlfn.UNIQUE(TRIM(_xlfn.TEXTSPLIT(Table25[[#This Row],[Selection Option]:[Selection Option]],","))),,X$11),"")</f>
        <v/>
      </c>
      <c r="Y25" s="30" cm="1">
        <f t="array" ref="Y25">IF(Table25[[#This Row],[1]]="","",Table25[[#This Row],[Weight]:[Weight]]-(Table25[[#This Row],[Weight]:[Weight]]*((_xlfn.XMATCH(Table25[[#This Row],[1]],Table25[[#This Row],[1]:[11]],0))-1)/(COUNTA(Table25[[#This Row],[1]:[11]])-COUNTBLANK(Table25[[#This Row],[1]:[11]])-1)))</f>
        <v>0</v>
      </c>
      <c r="Z25" s="30" cm="1">
        <f t="array" ref="Z25">IF(Table25[[#This Row],[2]]="","",Table25[[#This Row],[Weight]:[Weight]]-(Table25[[#This Row],[Weight]:[Weight]]*((_xlfn.XMATCH(Table25[[#This Row],[2]],Table25[[#This Row],[1]:[11]],0))-1)/(COUNTA(Table25[[#This Row],[1]:[11]])-COUNTBLANK(Table25[[#This Row],[1]:[11]])-1)))</f>
        <v>0</v>
      </c>
      <c r="AA25" s="30" cm="1">
        <f t="array" ref="AA25">IF(Table25[[#This Row],[3]]="","",Table25[[#This Row],[Weight]:[Weight]]-(Table25[[#This Row],[Weight]:[Weight]]*((_xlfn.XMATCH(Table25[[#This Row],[3]],Table25[[#This Row],[1]:[11]],0))-1)/(COUNTA(Table25[[#This Row],[1]:[11]])-COUNTBLANK(Table25[[#This Row],[1]:[11]])-1)))</f>
        <v>0</v>
      </c>
      <c r="AB25" s="30" cm="1">
        <f t="array" ref="AB25">IF(Table25[[#This Row],[4]]="","",Table25[[#This Row],[Weight]:[Weight]]-(Table25[[#This Row],[Weight]:[Weight]]*((_xlfn.XMATCH(Table25[[#This Row],[4]],Table25[[#This Row],[1]:[11]],0))-1)/(COUNTA(Table25[[#This Row],[1]:[11]])-COUNTBLANK(Table25[[#This Row],[1]:[11]])-1)))</f>
        <v>0</v>
      </c>
      <c r="AC25" s="30" t="str" cm="1">
        <f t="array" ref="AC25">IF(Table25[[#This Row],[5]]="","",Table25[[#This Row],[Weight]:[Weight]]-(Table25[[#This Row],[Weight]:[Weight]]*((_xlfn.XMATCH(Table25[[#This Row],[5]],Table25[[#This Row],[1]:[11]],0))-1)/(COUNTA(Table25[[#This Row],[1]:[11]])-COUNTBLANK(Table25[[#This Row],[1]:[11]])-1)))</f>
        <v/>
      </c>
      <c r="AD25" s="30" t="str" cm="1">
        <f t="array" ref="AD25">IF(Table25[[#This Row],[6]]="","",Table25[[#This Row],[Weight]:[Weight]]-(Table25[[#This Row],[Weight]:[Weight]]*((_xlfn.XMATCH(Table25[[#This Row],[6]],Table25[[#This Row],[1]:[11]],0))-1)/(COUNTA(Table25[[#This Row],[1]:[11]])-COUNTBLANK(Table25[[#This Row],[1]:[11]])-1)))</f>
        <v/>
      </c>
      <c r="AE25" s="30" t="str" cm="1">
        <f t="array" ref="AE25">IF(Table25[[#This Row],[7]]="","",Table25[[#This Row],[Weight]:[Weight]]-(Table25[[#This Row],[Weight]:[Weight]]*((_xlfn.XMATCH(Table25[[#This Row],[7]],Table25[[#This Row],[1]:[11]],0))-1)/(COUNTA(Table25[[#This Row],[1]:[11]])-COUNTBLANK(Table25[[#This Row],[1]:[11]])-1)))</f>
        <v/>
      </c>
      <c r="AF25" s="30" t="str" cm="1">
        <f t="array" ref="AF25">IF(Table25[[#This Row],[8]]="","",Table25[[#This Row],[Weight]:[Weight]]-(Table25[[#This Row],[Weight]:[Weight]]*((_xlfn.XMATCH(Table25[[#This Row],[8]],Table25[[#This Row],[1]:[11]],0))-1)/(COUNTA(Table25[[#This Row],[1]:[11]])-COUNTBLANK(Table25[[#This Row],[1]:[11]])-1)))</f>
        <v/>
      </c>
      <c r="AG25" s="30" t="str" cm="1">
        <f t="array" ref="AG25">IF(Table25[[#This Row],[9]]="","",Table25[[#This Row],[Weight]:[Weight]]-(Table25[[#This Row],[Weight]:[Weight]]*((_xlfn.XMATCH(Table25[[#This Row],[9]],Table25[[#This Row],[1]:[11]],0))-1)/(COUNTA(Table25[[#This Row],[1]:[11]])-COUNTBLANK(Table25[[#This Row],[1]:[11]])-1)))</f>
        <v/>
      </c>
      <c r="AH25" s="30" t="str" cm="1">
        <f t="array" ref="AH25">IF(Table25[[#This Row],[10]]="","",Table25[[#This Row],[Weight]:[Weight]]-(Table25[[#This Row],[Weight]:[Weight]]*((_xlfn.XMATCH(Table25[[#This Row],[10]],Table25[[#This Row],[1]:[11]],0))-1)/(COUNTA(Table25[[#This Row],[1]:[11]])-COUNTBLANK(Table25[[#This Row],[1]:[11]])-1)))</f>
        <v/>
      </c>
      <c r="AI25" s="30" t="str" cm="1">
        <f t="array" ref="AI25">IF(Table25[[#This Row],[11]]="","",Table25[[#This Row],[Weight]:[Weight]]-(Table25[[#This Row],[Weight]:[Weight]]*((_xlfn.XMATCH(Table25[[#This Row],[11]],Table25[[#This Row],[1]:[11]],0))-1)/(COUNTA(Table25[[#This Row],[1]:[11]])-COUNTBLANK(Table25[[#This Row],[1]:[11]])-1)))</f>
        <v/>
      </c>
    </row>
    <row r="26" spans="1:35" ht="36" x14ac:dyDescent="0.2">
      <c r="A26" s="32">
        <v>12</v>
      </c>
      <c r="B26" s="40" t="s">
        <v>580</v>
      </c>
      <c r="C26" s="40" t="s">
        <v>581</v>
      </c>
      <c r="D26" s="40" t="s">
        <v>582</v>
      </c>
      <c r="E26" s="40" t="s">
        <v>583</v>
      </c>
      <c r="F26" s="34" t="s">
        <v>271</v>
      </c>
      <c r="G26" s="35" cm="1">
        <f t="array" ref="G26">_xlfn.IFS(F26="","",F26="No interest",0,F26="Nice to have",1,F26="Useful",2,F26="Important",3,F26="Very important",4,F26="Critical",5,F26="Show stopper",6)</f>
        <v>2</v>
      </c>
      <c r="H26" s="36">
        <f t="shared" si="1"/>
        <v>0</v>
      </c>
      <c r="I26" s="37" t="s">
        <v>584</v>
      </c>
      <c r="J26" s="37" t="str" cm="1">
        <f t="array" ref="J26">_xlfn.TEXTJOIN(" "&amp;CHAR(10),,TEXT(SUBSTITUTE(Table25[[#This Row],[12]:[22]],".",","),"0,00%"))</f>
        <v>0,00% 
0,00% 
0,00%</v>
      </c>
      <c r="K26" s="38" t="s">
        <v>33</v>
      </c>
      <c r="L26" s="39">
        <f>H26-(H26*((MATCH(Table25[[#This Row],[Evaluators Response (SELECT)]],Table25[[#This Row],[1]:[11]],0)-1)/(COUNTA(Table25[[#This Row],[1]:[11]])-COUNTBLANK(Table25[[#This Row],[1]:[11]])-1)))</f>
        <v>0</v>
      </c>
      <c r="M26" s="40"/>
      <c r="N26" s="29" t="str" cm="1">
        <f t="array" ref="N26">IFERROR(INDEX(_xlfn.UNIQUE(TRIM(_xlfn.TEXTSPLIT(Table25[[#This Row],[Selection Option]:[Selection Option]],","))),,N$11),"")</f>
        <v>3</v>
      </c>
      <c r="O26" s="29" t="str" cm="1">
        <f t="array" ref="O26">IFERROR(INDEX(_xlfn.UNIQUE(TRIM(_xlfn.TEXTSPLIT(Table25[[#This Row],[Selection Option]:[Selection Option]],","))),,O$11),"")</f>
        <v>2</v>
      </c>
      <c r="P26" s="29" t="str" cm="1">
        <f t="array" ref="P26">IFERROR(INDEX(_xlfn.UNIQUE(TRIM(_xlfn.TEXTSPLIT(Table25[[#This Row],[Selection Option]:[Selection Option]],","))),,P$11),"")</f>
        <v>1</v>
      </c>
      <c r="Q26" s="29" t="str" cm="1">
        <f t="array" ref="Q26">IFERROR(INDEX(_xlfn.UNIQUE(TRIM(_xlfn.TEXTSPLIT(Table25[[#This Row],[Selection Option]:[Selection Option]],","))),,Q$11),"")</f>
        <v/>
      </c>
      <c r="R26" s="29" t="str" cm="1">
        <f t="array" ref="R26">IFERROR(INDEX(_xlfn.UNIQUE(TRIM(_xlfn.TEXTSPLIT(Table25[[#This Row],[Selection Option]:[Selection Option]],","))),,R$11),"")</f>
        <v/>
      </c>
      <c r="S26" s="29" t="str" cm="1">
        <f t="array" ref="S26">IFERROR(INDEX(_xlfn.UNIQUE(TRIM(_xlfn.TEXTSPLIT(Table25[[#This Row],[Selection Option]:[Selection Option]],","))),,S$11),"")</f>
        <v/>
      </c>
      <c r="T26" s="29" t="str" cm="1">
        <f t="array" ref="T26">IFERROR(INDEX(_xlfn.UNIQUE(TRIM(_xlfn.TEXTSPLIT(Table25[[#This Row],[Selection Option]:[Selection Option]],","))),,T$11),"")</f>
        <v/>
      </c>
      <c r="U26" s="29" t="str" cm="1">
        <f t="array" ref="U26">IFERROR(INDEX(_xlfn.UNIQUE(TRIM(_xlfn.TEXTSPLIT(Table25[[#This Row],[Selection Option]:[Selection Option]],","))),,U$11),"")</f>
        <v/>
      </c>
      <c r="V26" s="29" t="str" cm="1">
        <f t="array" ref="V26">IFERROR(INDEX(_xlfn.UNIQUE(TRIM(_xlfn.TEXTSPLIT(Table25[[#This Row],[Selection Option]:[Selection Option]],","))),,V$11),"")</f>
        <v/>
      </c>
      <c r="W26" s="29" t="str" cm="1">
        <f t="array" ref="W26">IFERROR(INDEX(_xlfn.UNIQUE(TRIM(_xlfn.TEXTSPLIT(Table25[[#This Row],[Selection Option]:[Selection Option]],","))),,W$11),"")</f>
        <v/>
      </c>
      <c r="X26" s="29" t="str" cm="1">
        <f t="array" ref="X26">IFERROR(INDEX(_xlfn.UNIQUE(TRIM(_xlfn.TEXTSPLIT(Table25[[#This Row],[Selection Option]:[Selection Option]],","))),,X$11),"")</f>
        <v/>
      </c>
      <c r="Y26" s="30" cm="1">
        <f t="array" ref="Y26">IF(Table25[[#This Row],[1]]="","",Table25[[#This Row],[Weight]:[Weight]]-(Table25[[#This Row],[Weight]:[Weight]]*((_xlfn.XMATCH(Table25[[#This Row],[1]],Table25[[#This Row],[1]:[11]],0))-1)/(COUNTA(Table25[[#This Row],[1]:[11]])-COUNTBLANK(Table25[[#This Row],[1]:[11]])-1)))</f>
        <v>0</v>
      </c>
      <c r="Z26" s="30" cm="1">
        <f t="array" ref="Z26">IF(Table25[[#This Row],[2]]="","",Table25[[#This Row],[Weight]:[Weight]]-(Table25[[#This Row],[Weight]:[Weight]]*((_xlfn.XMATCH(Table25[[#This Row],[2]],Table25[[#This Row],[1]:[11]],0))-1)/(COUNTA(Table25[[#This Row],[1]:[11]])-COUNTBLANK(Table25[[#This Row],[1]:[11]])-1)))</f>
        <v>0</v>
      </c>
      <c r="AA26" s="30" cm="1">
        <f t="array" ref="AA26">IF(Table25[[#This Row],[3]]="","",Table25[[#This Row],[Weight]:[Weight]]-(Table25[[#This Row],[Weight]:[Weight]]*((_xlfn.XMATCH(Table25[[#This Row],[3]],Table25[[#This Row],[1]:[11]],0))-1)/(COUNTA(Table25[[#This Row],[1]:[11]])-COUNTBLANK(Table25[[#This Row],[1]:[11]])-1)))</f>
        <v>0</v>
      </c>
      <c r="AB26" s="30" t="str" cm="1">
        <f t="array" ref="AB26">IF(Table25[[#This Row],[4]]="","",Table25[[#This Row],[Weight]:[Weight]]-(Table25[[#This Row],[Weight]:[Weight]]*((_xlfn.XMATCH(Table25[[#This Row],[4]],Table25[[#This Row],[1]:[11]],0))-1)/(COUNTA(Table25[[#This Row],[1]:[11]])-COUNTBLANK(Table25[[#This Row],[1]:[11]])-1)))</f>
        <v/>
      </c>
      <c r="AC26" s="30" t="str" cm="1">
        <f t="array" ref="AC26">IF(Table25[[#This Row],[5]]="","",Table25[[#This Row],[Weight]:[Weight]]-(Table25[[#This Row],[Weight]:[Weight]]*((_xlfn.XMATCH(Table25[[#This Row],[5]],Table25[[#This Row],[1]:[11]],0))-1)/(COUNTA(Table25[[#This Row],[1]:[11]])-COUNTBLANK(Table25[[#This Row],[1]:[11]])-1)))</f>
        <v/>
      </c>
      <c r="AD26" s="30" t="str" cm="1">
        <f t="array" ref="AD26">IF(Table25[[#This Row],[6]]="","",Table25[[#This Row],[Weight]:[Weight]]-(Table25[[#This Row],[Weight]:[Weight]]*((_xlfn.XMATCH(Table25[[#This Row],[6]],Table25[[#This Row],[1]:[11]],0))-1)/(COUNTA(Table25[[#This Row],[1]:[11]])-COUNTBLANK(Table25[[#This Row],[1]:[11]])-1)))</f>
        <v/>
      </c>
      <c r="AE26" s="30" t="str" cm="1">
        <f t="array" ref="AE26">IF(Table25[[#This Row],[7]]="","",Table25[[#This Row],[Weight]:[Weight]]-(Table25[[#This Row],[Weight]:[Weight]]*((_xlfn.XMATCH(Table25[[#This Row],[7]],Table25[[#This Row],[1]:[11]],0))-1)/(COUNTA(Table25[[#This Row],[1]:[11]])-COUNTBLANK(Table25[[#This Row],[1]:[11]])-1)))</f>
        <v/>
      </c>
      <c r="AF26" s="30" t="str" cm="1">
        <f t="array" ref="AF26">IF(Table25[[#This Row],[8]]="","",Table25[[#This Row],[Weight]:[Weight]]-(Table25[[#This Row],[Weight]:[Weight]]*((_xlfn.XMATCH(Table25[[#This Row],[8]],Table25[[#This Row],[1]:[11]],0))-1)/(COUNTA(Table25[[#This Row],[1]:[11]])-COUNTBLANK(Table25[[#This Row],[1]:[11]])-1)))</f>
        <v/>
      </c>
      <c r="AG26" s="30" t="str" cm="1">
        <f t="array" ref="AG26">IF(Table25[[#This Row],[9]]="","",Table25[[#This Row],[Weight]:[Weight]]-(Table25[[#This Row],[Weight]:[Weight]]*((_xlfn.XMATCH(Table25[[#This Row],[9]],Table25[[#This Row],[1]:[11]],0))-1)/(COUNTA(Table25[[#This Row],[1]:[11]])-COUNTBLANK(Table25[[#This Row],[1]:[11]])-1)))</f>
        <v/>
      </c>
      <c r="AH26" s="30" t="str" cm="1">
        <f t="array" ref="AH26">IF(Table25[[#This Row],[10]]="","",Table25[[#This Row],[Weight]:[Weight]]-(Table25[[#This Row],[Weight]:[Weight]]*((_xlfn.XMATCH(Table25[[#This Row],[10]],Table25[[#This Row],[1]:[11]],0))-1)/(COUNTA(Table25[[#This Row],[1]:[11]])-COUNTBLANK(Table25[[#This Row],[1]:[11]])-1)))</f>
        <v/>
      </c>
      <c r="AI26" s="30" t="str" cm="1">
        <f t="array" ref="AI26">IF(Table25[[#This Row],[11]]="","",Table25[[#This Row],[Weight]:[Weight]]-(Table25[[#This Row],[Weight]:[Weight]]*((_xlfn.XMATCH(Table25[[#This Row],[11]],Table25[[#This Row],[1]:[11]],0))-1)/(COUNTA(Table25[[#This Row],[1]:[11]])-COUNTBLANK(Table25[[#This Row],[1]:[11]])-1)))</f>
        <v/>
      </c>
    </row>
    <row r="27" spans="1:35" ht="36" x14ac:dyDescent="0.2">
      <c r="A27" s="20">
        <v>13</v>
      </c>
      <c r="B27" s="28" t="s">
        <v>585</v>
      </c>
      <c r="C27" s="28" t="s">
        <v>586</v>
      </c>
      <c r="D27" s="28" t="s">
        <v>587</v>
      </c>
      <c r="E27" s="28" t="s">
        <v>588</v>
      </c>
      <c r="F27" s="22" t="s">
        <v>60</v>
      </c>
      <c r="G27" s="23" cm="1">
        <f t="array" ref="G27">_xlfn.IFS(F27="","",F27="No interest",0,F27="Nice to have",1,F27="Useful",2,F27="Important",3,F27="Very important",4,F27="Critical",5,F27="Show stopper",6)</f>
        <v>6</v>
      </c>
      <c r="H27" s="24">
        <f t="shared" si="1"/>
        <v>0</v>
      </c>
      <c r="I27" s="25" t="s">
        <v>589</v>
      </c>
      <c r="J27" s="37" t="str" cm="1">
        <f t="array" ref="J27">_xlfn.TEXTJOIN(" "&amp;CHAR(10),,TEXT(SUBSTITUTE(Table25[[#This Row],[12]:[22]],".",","),"0,00%"))</f>
        <v>0,00% 
0,00% 
0,00%</v>
      </c>
      <c r="K27" s="26" t="s">
        <v>590</v>
      </c>
      <c r="L27" s="27">
        <f>H27-(H27*((MATCH(Table25[[#This Row],[Evaluators Response (SELECT)]],Table25[[#This Row],[1]:[11]],0)-1)/(COUNTA(Table25[[#This Row],[1]:[11]])-COUNTBLANK(Table25[[#This Row],[1]:[11]])-1)))</f>
        <v>0</v>
      </c>
      <c r="M27" s="28"/>
      <c r="N27" s="41" t="str" cm="1">
        <f t="array" ref="N27">IFERROR(INDEX(_xlfn.UNIQUE(TRIM(_xlfn.TEXTSPLIT(Table25[[#This Row],[Selection Option]:[Selection Option]],","))),,N$11),"")</f>
        <v>M</v>
      </c>
      <c r="O27" s="41" t="str" cm="1">
        <f t="array" ref="O27">IFERROR(INDEX(_xlfn.UNIQUE(TRIM(_xlfn.TEXTSPLIT(Table25[[#This Row],[Selection Option]],","))),,O$11),"")</f>
        <v>N</v>
      </c>
      <c r="P27" s="41" t="str" cm="1">
        <f t="array" ref="P27">IFERROR(INDEX(_xlfn.UNIQUE(TRIM(_xlfn.TEXTSPLIT(Table25[[#This Row],[Selection Option]],","))),,P$11),"")</f>
        <v>P</v>
      </c>
      <c r="Q27" s="41" t="str" cm="1">
        <f t="array" ref="Q27">IFERROR(INDEX(_xlfn.UNIQUE(TRIM(_xlfn.TEXTSPLIT(Table25[[#This Row],[Selection Option]],","))),,Q$11),"")</f>
        <v/>
      </c>
      <c r="R27" s="42" t="str" cm="1">
        <f t="array" ref="R27">IFERROR(INDEX(_xlfn.UNIQUE(TRIM(_xlfn.TEXTSPLIT(Table25[[#This Row],[Selection Option]],","))),,R$11),"")</f>
        <v/>
      </c>
      <c r="S27" s="41" t="str" cm="1">
        <f t="array" ref="S27">IFERROR(INDEX(_xlfn.UNIQUE(TRIM(_xlfn.TEXTSPLIT(Table25[[#This Row],[Selection Option]],","))),,S$11),"")</f>
        <v/>
      </c>
      <c r="T27" s="41" t="str" cm="1">
        <f t="array" ref="T27">IFERROR(INDEX(_xlfn.UNIQUE(TRIM(_xlfn.TEXTSPLIT(Table25[[#This Row],[Selection Option]],","))),,T$11),"")</f>
        <v/>
      </c>
      <c r="U27" s="41" t="str" cm="1">
        <f t="array" ref="U27">IFERROR(INDEX(_xlfn.UNIQUE(TRIM(_xlfn.TEXTSPLIT(Table25[[#This Row],[Selection Option]],","))),,U$11),"")</f>
        <v/>
      </c>
      <c r="V27" s="41" t="str" cm="1">
        <f t="array" ref="V27">IFERROR(INDEX(_xlfn.UNIQUE(TRIM(_xlfn.TEXTSPLIT(Table25[[#This Row],[Selection Option]],","))),,V$11),"")</f>
        <v/>
      </c>
      <c r="W27" s="41" t="str" cm="1">
        <f t="array" ref="W27">IFERROR(INDEX(_xlfn.UNIQUE(TRIM(_xlfn.TEXTSPLIT(Table25[[#This Row],[Selection Option]],","))),,W$11),"")</f>
        <v/>
      </c>
      <c r="X27" s="41" t="str" cm="1">
        <f t="array" ref="X27">IFERROR(INDEX(_xlfn.UNIQUE(TRIM(_xlfn.TEXTSPLIT(Table25[[#This Row],[Selection Option]],","))),,X$11),"")</f>
        <v/>
      </c>
      <c r="Y27" s="30" cm="1">
        <f t="array" ref="Y27">IF(Table25[[#This Row],[1]]="","",Table25[[#This Row],[Weight]:[Weight]]-(Table25[[#This Row],[Weight]:[Weight]]*((_xlfn.XMATCH(Table25[[#This Row],[1]],Table25[[#This Row],[1]:[11]],0))-1)/(COUNTA(Table25[[#This Row],[1]:[11]])-COUNTBLANK(Table25[[#This Row],[1]:[11]])-1)))</f>
        <v>0</v>
      </c>
      <c r="Z27" s="30" cm="1">
        <f t="array" ref="Z27">IF(Table25[[#This Row],[2]]="","",Table25[[#This Row],[Weight]:[Weight]]-(Table25[[#This Row],[Weight]:[Weight]]*((_xlfn.XMATCH(Table25[[#This Row],[2]],Table25[[#This Row],[1]:[11]],0))-1)/(COUNTA(Table25[[#This Row],[1]:[11]])-COUNTBLANK(Table25[[#This Row],[1]:[11]])-1)))</f>
        <v>0</v>
      </c>
      <c r="AA27" s="30" cm="1">
        <f t="array" ref="AA27">IF(Table25[[#This Row],[3]]="","",Table25[[#This Row],[Weight]:[Weight]]-(Table25[[#This Row],[Weight]:[Weight]]*((_xlfn.XMATCH(Table25[[#This Row],[3]],Table25[[#This Row],[1]:[11]],0))-1)/(COUNTA(Table25[[#This Row],[1]:[11]])-COUNTBLANK(Table25[[#This Row],[1]:[11]])-1)))</f>
        <v>0</v>
      </c>
      <c r="AB27" s="30" t="str" cm="1">
        <f t="array" ref="AB27">IF(Table25[[#This Row],[4]]="","",Table25[[#This Row],[Weight]:[Weight]]-(Table25[[#This Row],[Weight]:[Weight]]*((_xlfn.XMATCH(Table25[[#This Row],[4]],Table25[[#This Row],[1]:[11]],0))-1)/(COUNTA(Table25[[#This Row],[1]:[11]])-COUNTBLANK(Table25[[#This Row],[1]:[11]])-1)))</f>
        <v/>
      </c>
      <c r="AC27" s="30" t="str" cm="1">
        <f t="array" ref="AC27">IF(Table25[[#This Row],[5]]="","",Table25[[#This Row],[Weight]:[Weight]]-(Table25[[#This Row],[Weight]:[Weight]]*((_xlfn.XMATCH(Table25[[#This Row],[5]],Table25[[#This Row],[1]:[11]],0))-1)/(COUNTA(Table25[[#This Row],[1]:[11]])-COUNTBLANK(Table25[[#This Row],[1]:[11]])-1)))</f>
        <v/>
      </c>
      <c r="AD27" s="30" t="str" cm="1">
        <f t="array" ref="AD27">IF(Table25[[#This Row],[6]]="","",Table25[[#This Row],[Weight]:[Weight]]-(Table25[[#This Row],[Weight]:[Weight]]*((_xlfn.XMATCH(Table25[[#This Row],[6]],Table25[[#This Row],[1]:[11]],0))-1)/(COUNTA(Table25[[#This Row],[1]:[11]])-COUNTBLANK(Table25[[#This Row],[1]:[11]])-1)))</f>
        <v/>
      </c>
      <c r="AE27" s="30" t="str" cm="1">
        <f t="array" ref="AE27">IF(Table25[[#This Row],[7]]="","",Table25[[#This Row],[Weight]:[Weight]]-(Table25[[#This Row],[Weight]:[Weight]]*((_xlfn.XMATCH(Table25[[#This Row],[7]],Table25[[#This Row],[1]:[11]],0))-1)/(COUNTA(Table25[[#This Row],[1]:[11]])-COUNTBLANK(Table25[[#This Row],[1]:[11]])-1)))</f>
        <v/>
      </c>
      <c r="AF27" s="30" t="str" cm="1">
        <f t="array" ref="AF27">IF(Table25[[#This Row],[8]]="","",Table25[[#This Row],[Weight]:[Weight]]-(Table25[[#This Row],[Weight]:[Weight]]*((_xlfn.XMATCH(Table25[[#This Row],[8]],Table25[[#This Row],[1]:[11]],0))-1)/(COUNTA(Table25[[#This Row],[1]:[11]])-COUNTBLANK(Table25[[#This Row],[1]:[11]])-1)))</f>
        <v/>
      </c>
      <c r="AG27" s="41" t="str" cm="1">
        <f t="array" ref="AG27">IF(Table25[[#This Row],[9]]="","",Table25[[#This Row],[Weight]:[Weight]]-(Table25[[#This Row],[Weight]:[Weight]]*((_xlfn.XMATCH(Table25[[#This Row],[9]],Table25[[#This Row],[1]:[11]],0))-1)/(COUNTA(Table25[[#This Row],[1]:[11]])-COUNTBLANK(Table25[[#This Row],[1]:[11]])-1)))</f>
        <v/>
      </c>
      <c r="AH27" s="41" t="str" cm="1">
        <f t="array" ref="AH27">IF(Table25[[#This Row],[10]]="","",Table25[[#This Row],[Weight]:[Weight]]-(Table25[[#This Row],[Weight]:[Weight]]*((_xlfn.XMATCH(Table25[[#This Row],[10]],Table25[[#This Row],[1]:[11]],0))-1)/(COUNTA(Table25[[#This Row],[1]:[11]])-COUNTBLANK(Table25[[#This Row],[1]:[11]])-1)))</f>
        <v/>
      </c>
      <c r="AI27" s="41" t="str" cm="1">
        <f t="array" ref="AI27">IF(Table25[[#This Row],[11]]="","",Table25[[#This Row],[Weight]:[Weight]]-(Table25[[#This Row],[Weight]:[Weight]]*((_xlfn.XMATCH(Table25[[#This Row],[11]],Table25[[#This Row],[1]:[11]],0))-1)/(COUNTA(Table25[[#This Row],[1]:[11]])-COUNTBLANK(Table25[[#This Row],[1]:[11]])-1)))</f>
        <v/>
      </c>
    </row>
    <row r="28" spans="1:35" ht="24" x14ac:dyDescent="0.2">
      <c r="A28" s="32">
        <v>14</v>
      </c>
      <c r="B28" s="40" t="s">
        <v>542</v>
      </c>
      <c r="C28" s="40" t="s">
        <v>591</v>
      </c>
      <c r="D28" s="40" t="s">
        <v>592</v>
      </c>
      <c r="E28" s="40" t="s">
        <v>593</v>
      </c>
      <c r="F28" s="34" t="s">
        <v>56</v>
      </c>
      <c r="G28" s="35" cm="1">
        <f t="array" ref="G28">_xlfn.IFS(F28="","",F28="No interest",0,F28="Nice to have",1,F28="Useful",2,F28="Important",3,F28="Very important",4,F28="Critical",5,F28="Show stopper",6)</f>
        <v>3</v>
      </c>
      <c r="H28" s="36">
        <f t="shared" si="1"/>
        <v>0</v>
      </c>
      <c r="I28" s="37" t="s">
        <v>594</v>
      </c>
      <c r="J28" s="37" t="str" cm="1">
        <f t="array" ref="J28">_xlfn.TEXTJOIN(" "&amp;CHAR(10),,TEXT(SUBSTITUTE(Table25[[#This Row],[12]:[22]],".",","),"0,00%"))</f>
        <v>0,00% 
0,00%</v>
      </c>
      <c r="K28" s="38" t="s">
        <v>595</v>
      </c>
      <c r="L28" s="39">
        <f>H28-(H28*((MATCH(Table25[[#This Row],[Evaluators Response (SELECT)]],Table25[[#This Row],[1]:[11]],0)-1)/(COUNTA(Table25[[#This Row],[1]:[11]])-COUNTBLANK(Table25[[#This Row],[1]:[11]])-1)))</f>
        <v>0</v>
      </c>
      <c r="M28" s="40"/>
      <c r="N28" s="29" t="str" cm="1">
        <f t="array" ref="N28">IFERROR(INDEX(_xlfn.UNIQUE(TRIM(_xlfn.TEXTSPLIT(Table25[[#This Row],[Selection Option]:[Selection Option]],","))),,N$11),"")</f>
        <v>Y</v>
      </c>
      <c r="O28" s="29" t="str" cm="1">
        <f t="array" ref="O28">IFERROR(INDEX(_xlfn.UNIQUE(TRIM(_xlfn.TEXTSPLIT(Table25[[#This Row],[Selection Option]:[Selection Option]],","))),,O$11),"")</f>
        <v>N</v>
      </c>
      <c r="P28" s="29" t="str" cm="1">
        <f t="array" ref="P28">IFERROR(INDEX(_xlfn.UNIQUE(TRIM(_xlfn.TEXTSPLIT(Table25[[#This Row],[Selection Option]:[Selection Option]],","))),,P$11),"")</f>
        <v/>
      </c>
      <c r="Q28" s="29" t="str" cm="1">
        <f t="array" ref="Q28">IFERROR(INDEX(_xlfn.UNIQUE(TRIM(_xlfn.TEXTSPLIT(Table25[[#This Row],[Selection Option]:[Selection Option]],","))),,Q$11),"")</f>
        <v/>
      </c>
      <c r="R28" s="29" t="str" cm="1">
        <f t="array" ref="R28">IFERROR(INDEX(_xlfn.UNIQUE(TRIM(_xlfn.TEXTSPLIT(Table25[[#This Row],[Selection Option]:[Selection Option]],","))),,R$11),"")</f>
        <v/>
      </c>
      <c r="S28" s="29" t="str" cm="1">
        <f t="array" ref="S28">IFERROR(INDEX(_xlfn.UNIQUE(TRIM(_xlfn.TEXTSPLIT(Table25[[#This Row],[Selection Option]:[Selection Option]],","))),,S$11),"")</f>
        <v/>
      </c>
      <c r="T28" s="29" t="str" cm="1">
        <f t="array" ref="T28">IFERROR(INDEX(_xlfn.UNIQUE(TRIM(_xlfn.TEXTSPLIT(Table25[[#This Row],[Selection Option]:[Selection Option]],","))),,T$11),"")</f>
        <v/>
      </c>
      <c r="U28" s="29" t="str" cm="1">
        <f t="array" ref="U28">IFERROR(INDEX(_xlfn.UNIQUE(TRIM(_xlfn.TEXTSPLIT(Table25[[#This Row],[Selection Option]:[Selection Option]],","))),,U$11),"")</f>
        <v/>
      </c>
      <c r="V28" s="29" t="str" cm="1">
        <f t="array" ref="V28">IFERROR(INDEX(_xlfn.UNIQUE(TRIM(_xlfn.TEXTSPLIT(Table25[[#This Row],[Selection Option]:[Selection Option]],","))),,V$11),"")</f>
        <v/>
      </c>
      <c r="W28" s="29" t="str" cm="1">
        <f t="array" ref="W28">IFERROR(INDEX(_xlfn.UNIQUE(TRIM(_xlfn.TEXTSPLIT(Table25[[#This Row],[Selection Option]:[Selection Option]],","))),,W$11),"")</f>
        <v/>
      </c>
      <c r="X28" s="29" t="str" cm="1">
        <f t="array" ref="X28">IFERROR(INDEX(_xlfn.UNIQUE(TRIM(_xlfn.TEXTSPLIT(Table25[[#This Row],[Selection Option]:[Selection Option]],","))),,X$11),"")</f>
        <v/>
      </c>
      <c r="Y28" s="30" cm="1">
        <f t="array" ref="Y28">IF(Table25[[#This Row],[1]]="","",Table25[[#This Row],[Weight]:[Weight]]-(Table25[[#This Row],[Weight]:[Weight]]*((_xlfn.XMATCH(Table25[[#This Row],[1]],Table25[[#This Row],[1]:[11]],0))-1)/(COUNTA(Table25[[#This Row],[1]:[11]])-COUNTBLANK(Table25[[#This Row],[1]:[11]])-1)))</f>
        <v>0</v>
      </c>
      <c r="Z28" s="30" cm="1">
        <f t="array" ref="Z28">IF(Table25[[#This Row],[2]]="","",Table25[[#This Row],[Weight]:[Weight]]-(Table25[[#This Row],[Weight]:[Weight]]*((_xlfn.XMATCH(Table25[[#This Row],[2]],Table25[[#This Row],[1]:[11]],0))-1)/(COUNTA(Table25[[#This Row],[1]:[11]])-COUNTBLANK(Table25[[#This Row],[1]:[11]])-1)))</f>
        <v>0</v>
      </c>
      <c r="AA28" s="30" t="str" cm="1">
        <f t="array" ref="AA28">IF(Table25[[#This Row],[3]]="","",Table25[[#This Row],[Weight]:[Weight]]-(Table25[[#This Row],[Weight]:[Weight]]*((_xlfn.XMATCH(Table25[[#This Row],[3]],Table25[[#This Row],[1]:[11]],0))-1)/(COUNTA(Table25[[#This Row],[1]:[11]])-COUNTBLANK(Table25[[#This Row],[1]:[11]])-1)))</f>
        <v/>
      </c>
      <c r="AB28" s="30" t="str" cm="1">
        <f t="array" ref="AB28">IF(Table25[[#This Row],[4]]="","",Table25[[#This Row],[Weight]:[Weight]]-(Table25[[#This Row],[Weight]:[Weight]]*((_xlfn.XMATCH(Table25[[#This Row],[4]],Table25[[#This Row],[1]:[11]],0))-1)/(COUNTA(Table25[[#This Row],[1]:[11]])-COUNTBLANK(Table25[[#This Row],[1]:[11]])-1)))</f>
        <v/>
      </c>
      <c r="AC28" s="30" t="str" cm="1">
        <f t="array" ref="AC28">IF(Table25[[#This Row],[5]]="","",Table25[[#This Row],[Weight]:[Weight]]-(Table25[[#This Row],[Weight]:[Weight]]*((_xlfn.XMATCH(Table25[[#This Row],[5]],Table25[[#This Row],[1]:[11]],0))-1)/(COUNTA(Table25[[#This Row],[1]:[11]])-COUNTBLANK(Table25[[#This Row],[1]:[11]])-1)))</f>
        <v/>
      </c>
      <c r="AD28" s="30" t="str" cm="1">
        <f t="array" ref="AD28">IF(Table25[[#This Row],[6]]="","",Table25[[#This Row],[Weight]:[Weight]]-(Table25[[#This Row],[Weight]:[Weight]]*((_xlfn.XMATCH(Table25[[#This Row],[6]],Table25[[#This Row],[1]:[11]],0))-1)/(COUNTA(Table25[[#This Row],[1]:[11]])-COUNTBLANK(Table25[[#This Row],[1]:[11]])-1)))</f>
        <v/>
      </c>
      <c r="AE28" s="30" t="str" cm="1">
        <f t="array" ref="AE28">IF(Table25[[#This Row],[7]]="","",Table25[[#This Row],[Weight]:[Weight]]-(Table25[[#This Row],[Weight]:[Weight]]*((_xlfn.XMATCH(Table25[[#This Row],[7]],Table25[[#This Row],[1]:[11]],0))-1)/(COUNTA(Table25[[#This Row],[1]:[11]])-COUNTBLANK(Table25[[#This Row],[1]:[11]])-1)))</f>
        <v/>
      </c>
      <c r="AF28" s="30" t="str" cm="1">
        <f t="array" ref="AF28">IF(Table25[[#This Row],[8]]="","",Table25[[#This Row],[Weight]:[Weight]]-(Table25[[#This Row],[Weight]:[Weight]]*((_xlfn.XMATCH(Table25[[#This Row],[8]],Table25[[#This Row],[1]:[11]],0))-1)/(COUNTA(Table25[[#This Row],[1]:[11]])-COUNTBLANK(Table25[[#This Row],[1]:[11]])-1)))</f>
        <v/>
      </c>
      <c r="AG28" s="30" t="str" cm="1">
        <f t="array" ref="AG28">IF(Table25[[#This Row],[9]]="","",Table25[[#This Row],[Weight]:[Weight]]-(Table25[[#This Row],[Weight]:[Weight]]*((_xlfn.XMATCH(Table25[[#This Row],[9]],Table25[[#This Row],[1]:[11]],0))-1)/(COUNTA(Table25[[#This Row],[1]:[11]])-COUNTBLANK(Table25[[#This Row],[1]:[11]])-1)))</f>
        <v/>
      </c>
      <c r="AH28" s="30" t="str" cm="1">
        <f t="array" ref="AH28">IF(Table25[[#This Row],[10]]="","",Table25[[#This Row],[Weight]:[Weight]]-(Table25[[#This Row],[Weight]:[Weight]]*((_xlfn.XMATCH(Table25[[#This Row],[10]],Table25[[#This Row],[1]:[11]],0))-1)/(COUNTA(Table25[[#This Row],[1]:[11]])-COUNTBLANK(Table25[[#This Row],[1]:[11]])-1)))</f>
        <v/>
      </c>
      <c r="AI28" s="30" t="str" cm="1">
        <f t="array" ref="AI28">IF(Table25[[#This Row],[11]]="","",Table25[[#This Row],[Weight]:[Weight]]-(Table25[[#This Row],[Weight]:[Weight]]*((_xlfn.XMATCH(Table25[[#This Row],[11]],Table25[[#This Row],[1]:[11]],0))-1)/(COUNTA(Table25[[#This Row],[1]:[11]])-COUNTBLANK(Table25[[#This Row],[1]:[11]])-1)))</f>
        <v/>
      </c>
    </row>
    <row r="29" spans="1:35" ht="48" x14ac:dyDescent="0.2">
      <c r="A29" s="32">
        <v>15</v>
      </c>
      <c r="B29" s="40" t="s">
        <v>596</v>
      </c>
      <c r="C29" s="40" t="s">
        <v>597</v>
      </c>
      <c r="D29" s="40" t="s">
        <v>598</v>
      </c>
      <c r="E29" s="40" t="s">
        <v>599</v>
      </c>
      <c r="F29" s="34" t="s">
        <v>106</v>
      </c>
      <c r="G29" s="35" cm="1">
        <f t="array" ref="G29">_xlfn.IFS(F29="","",F29="No interest",0,F29="Nice to have",1,F29="Useful",2,F29="Important",3,F29="Very important",4,F29="Critical",5,F29="Show stopper",6)</f>
        <v>5</v>
      </c>
      <c r="H29" s="36">
        <f t="shared" si="1"/>
        <v>0</v>
      </c>
      <c r="I29" s="37" t="s">
        <v>600</v>
      </c>
      <c r="J29" s="37" t="str" cm="1">
        <f t="array" ref="J29">_xlfn.TEXTJOIN(" "&amp;CHAR(10),,TEXT(SUBSTITUTE(Table25[[#This Row],[12]:[22]],".",","),"0,00%"))</f>
        <v>0,00% 
0,00% 
0,00% 
0,00%</v>
      </c>
      <c r="K29" s="38" t="s">
        <v>570</v>
      </c>
      <c r="L29" s="39">
        <f>H29-(H29*((MATCH(Table25[[#This Row],[Evaluators Response (SELECT)]],Table25[[#This Row],[1]:[11]],0)-1)/(COUNTA(Table25[[#This Row],[1]:[11]])-COUNTBLANK(Table25[[#This Row],[1]:[11]])-1)))</f>
        <v>0</v>
      </c>
      <c r="M29" s="40"/>
      <c r="N29" s="29" t="str" cm="1">
        <f t="array" ref="N29">IFERROR(INDEX(_xlfn.UNIQUE(TRIM(_xlfn.TEXTSPLIT(Table25[[#This Row],[Selection Option]:[Selection Option]],","))),,N$11),"")</f>
        <v>X</v>
      </c>
      <c r="O29" s="29" t="str" cm="1">
        <f t="array" ref="O29">IFERROR(INDEX(_xlfn.UNIQUE(TRIM(_xlfn.TEXTSPLIT(Table25[[#This Row],[Selection Option]],","))),,O$11),"")</f>
        <v>Y</v>
      </c>
      <c r="P29" s="29" t="str" cm="1">
        <f t="array" ref="P29">IFERROR(INDEX(_xlfn.UNIQUE(TRIM(_xlfn.TEXTSPLIT(Table25[[#This Row],[Selection Option]],","))),,P$11),"")</f>
        <v>Z</v>
      </c>
      <c r="Q29" s="29" t="str" cm="1">
        <f t="array" ref="Q29">IFERROR(INDEX(_xlfn.UNIQUE(TRIM(_xlfn.TEXTSPLIT(Table25[[#This Row],[Selection Option]],","))),,Q$11),"")</f>
        <v>A</v>
      </c>
      <c r="R29" s="43" t="str" cm="1">
        <f t="array" ref="R29">IFERROR(INDEX(_xlfn.UNIQUE(TRIM(_xlfn.TEXTSPLIT(Table25[[#This Row],[Selection Option]],","))),,R$11),"")</f>
        <v/>
      </c>
      <c r="S29" s="29" t="str" cm="1">
        <f t="array" ref="S29">IFERROR(INDEX(_xlfn.UNIQUE(TRIM(_xlfn.TEXTSPLIT(Table25[[#This Row],[Selection Option]],","))),,S$11),"")</f>
        <v/>
      </c>
      <c r="T29" s="29" t="str" cm="1">
        <f t="array" ref="T29">IFERROR(INDEX(_xlfn.UNIQUE(TRIM(_xlfn.TEXTSPLIT(Table25[[#This Row],[Selection Option]],","))),,T$11),"")</f>
        <v/>
      </c>
      <c r="U29" s="29" t="str" cm="1">
        <f t="array" ref="U29">IFERROR(INDEX(_xlfn.UNIQUE(TRIM(_xlfn.TEXTSPLIT(Table25[[#This Row],[Selection Option]],","))),,U$11),"")</f>
        <v/>
      </c>
      <c r="V29" s="29" t="str" cm="1">
        <f t="array" ref="V29">IFERROR(INDEX(_xlfn.UNIQUE(TRIM(_xlfn.TEXTSPLIT(Table25[[#This Row],[Selection Option]],","))),,V$11),"")</f>
        <v/>
      </c>
      <c r="W29" s="29" t="str" cm="1">
        <f t="array" ref="W29">IFERROR(INDEX(_xlfn.UNIQUE(TRIM(_xlfn.TEXTSPLIT(Table25[[#This Row],[Selection Option]],","))),,W$11),"")</f>
        <v/>
      </c>
      <c r="X29" s="29" t="str" cm="1">
        <f t="array" ref="X29">IFERROR(INDEX(_xlfn.UNIQUE(TRIM(_xlfn.TEXTSPLIT(Table25[[#This Row],[Selection Option]],","))),,X$11),"")</f>
        <v/>
      </c>
      <c r="Y29" s="30" cm="1">
        <f t="array" ref="Y29">IF(Table25[[#This Row],[1]]="","",Table25[[#This Row],[Weight]:[Weight]]-(Table25[[#This Row],[Weight]:[Weight]]*((_xlfn.XMATCH(Table25[[#This Row],[1]],Table25[[#This Row],[1]:[11]],0))-1)/(COUNTA(Table25[[#This Row],[1]:[11]])-COUNTBLANK(Table25[[#This Row],[1]:[11]])-1)))</f>
        <v>0</v>
      </c>
      <c r="Z29" s="30" cm="1">
        <f t="array" ref="Z29">IF(Table25[[#This Row],[2]]="","",Table25[[#This Row],[Weight]:[Weight]]-(Table25[[#This Row],[Weight]:[Weight]]*((_xlfn.XMATCH(Table25[[#This Row],[2]],Table25[[#This Row],[1]:[11]],0))-1)/(COUNTA(Table25[[#This Row],[1]:[11]])-COUNTBLANK(Table25[[#This Row],[1]:[11]])-1)))</f>
        <v>0</v>
      </c>
      <c r="AA29" s="30" cm="1">
        <f t="array" ref="AA29">IF(Table25[[#This Row],[3]]="","",Table25[[#This Row],[Weight]:[Weight]]-(Table25[[#This Row],[Weight]:[Weight]]*((_xlfn.XMATCH(Table25[[#This Row],[3]],Table25[[#This Row],[1]:[11]],0))-1)/(COUNTA(Table25[[#This Row],[1]:[11]])-COUNTBLANK(Table25[[#This Row],[1]:[11]])-1)))</f>
        <v>0</v>
      </c>
      <c r="AB29" s="30" cm="1">
        <f t="array" ref="AB29">IF(Table25[[#This Row],[4]]="","",Table25[[#This Row],[Weight]:[Weight]]-(Table25[[#This Row],[Weight]:[Weight]]*((_xlfn.XMATCH(Table25[[#This Row],[4]],Table25[[#This Row],[1]:[11]],0))-1)/(COUNTA(Table25[[#This Row],[1]:[11]])-COUNTBLANK(Table25[[#This Row],[1]:[11]])-1)))</f>
        <v>0</v>
      </c>
      <c r="AC29" s="30" t="str" cm="1">
        <f t="array" ref="AC29">IF(Table25[[#This Row],[5]]="","",Table25[[#This Row],[Weight]:[Weight]]-(Table25[[#This Row],[Weight]:[Weight]]*((_xlfn.XMATCH(Table25[[#This Row],[5]],Table25[[#This Row],[1]:[11]],0))-1)/(COUNTA(Table25[[#This Row],[1]:[11]])-COUNTBLANK(Table25[[#This Row],[1]:[11]])-1)))</f>
        <v/>
      </c>
      <c r="AD29" s="30" t="str" cm="1">
        <f t="array" ref="AD29">IF(Table25[[#This Row],[6]]="","",Table25[[#This Row],[Weight]:[Weight]]-(Table25[[#This Row],[Weight]:[Weight]]*((_xlfn.XMATCH(Table25[[#This Row],[6]],Table25[[#This Row],[1]:[11]],0))-1)/(COUNTA(Table25[[#This Row],[1]:[11]])-COUNTBLANK(Table25[[#This Row],[1]:[11]])-1)))</f>
        <v/>
      </c>
      <c r="AE29" s="30" t="str" cm="1">
        <f t="array" ref="AE29">IF(Table25[[#This Row],[7]]="","",Table25[[#This Row],[Weight]:[Weight]]-(Table25[[#This Row],[Weight]:[Weight]]*((_xlfn.XMATCH(Table25[[#This Row],[7]],Table25[[#This Row],[1]:[11]],0))-1)/(COUNTA(Table25[[#This Row],[1]:[11]])-COUNTBLANK(Table25[[#This Row],[1]:[11]])-1)))</f>
        <v/>
      </c>
      <c r="AF29" s="30" t="str" cm="1">
        <f t="array" ref="AF29">IF(Table25[[#This Row],[8]]="","",Table25[[#This Row],[Weight]:[Weight]]-(Table25[[#This Row],[Weight]:[Weight]]*((_xlfn.XMATCH(Table25[[#This Row],[8]],Table25[[#This Row],[1]:[11]],0))-1)/(COUNTA(Table25[[#This Row],[1]:[11]])-COUNTBLANK(Table25[[#This Row],[1]:[11]])-1)))</f>
        <v/>
      </c>
      <c r="AG29" s="30" t="str" cm="1">
        <f t="array" ref="AG29">IF(Table25[[#This Row],[9]]="","",Table25[[#This Row],[Weight]:[Weight]]-(Table25[[#This Row],[Weight]:[Weight]]*((_xlfn.XMATCH(Table25[[#This Row],[9]],Table25[[#This Row],[1]:[11]],0))-1)/(COUNTA(Table25[[#This Row],[1]:[11]])-COUNTBLANK(Table25[[#This Row],[1]:[11]])-1)))</f>
        <v/>
      </c>
      <c r="AH29" s="30" t="str" cm="1">
        <f t="array" ref="AH29">IF(Table25[[#This Row],[10]]="","",Table25[[#This Row],[Weight]:[Weight]]-(Table25[[#This Row],[Weight]:[Weight]]*((_xlfn.XMATCH(Table25[[#This Row],[10]],Table25[[#This Row],[1]:[11]],0))-1)/(COUNTA(Table25[[#This Row],[1]:[11]])-COUNTBLANK(Table25[[#This Row],[1]:[11]])-1)))</f>
        <v/>
      </c>
      <c r="AI29" s="30" t="str" cm="1">
        <f t="array" ref="AI29">IF(Table25[[#This Row],[11]]="","",Table25[[#This Row],[Weight]:[Weight]]-(Table25[[#This Row],[Weight]:[Weight]]*((_xlfn.XMATCH(Table25[[#This Row],[11]],Table25[[#This Row],[1]:[11]],0))-1)/(COUNTA(Table25[[#This Row],[1]:[11]])-COUNTBLANK(Table25[[#This Row],[1]:[11]])-1)))</f>
        <v/>
      </c>
    </row>
    <row r="30" spans="1:35" ht="48" x14ac:dyDescent="0.2">
      <c r="A30" s="32">
        <v>16</v>
      </c>
      <c r="B30" s="40" t="s">
        <v>601</v>
      </c>
      <c r="C30" s="40" t="s">
        <v>602</v>
      </c>
      <c r="D30" s="40" t="s">
        <v>603</v>
      </c>
      <c r="E30" s="40" t="s">
        <v>604</v>
      </c>
      <c r="F30" s="34" t="s">
        <v>106</v>
      </c>
      <c r="G30" s="35" cm="1">
        <f t="array" ref="G30">_xlfn.IFS(F30="","",F30="No interest",0,F30="Nice to have",1,F30="Useful",2,F30="Important",3,F30="Very important",4,F30="Critical",5,F30="Show stopper",6)</f>
        <v>5</v>
      </c>
      <c r="H30" s="36">
        <f t="shared" si="1"/>
        <v>0</v>
      </c>
      <c r="I30" s="37" t="s">
        <v>605</v>
      </c>
      <c r="J30" s="37" t="str" cm="1">
        <f t="array" ref="J30">_xlfn.TEXTJOIN(" "&amp;CHAR(10),,TEXT(SUBSTITUTE(Table25[[#This Row],[12]:[22]],".",","),"0,00%"))</f>
        <v>0,00% 
0,00% 
0,00% 
0,00%</v>
      </c>
      <c r="K30" s="38" t="s">
        <v>606</v>
      </c>
      <c r="L30" s="39">
        <f>H30-(H30*((MATCH(Table25[[#This Row],[Evaluators Response (SELECT)]],Table25[[#This Row],[1]:[11]],0)-1)/(COUNTA(Table25[[#This Row],[1]:[11]])-COUNTBLANK(Table25[[#This Row],[1]:[11]])-1)))</f>
        <v>0</v>
      </c>
      <c r="M30" s="40"/>
      <c r="N30" s="29" t="str" cm="1">
        <f t="array" ref="N30">IFERROR(INDEX(_xlfn.UNIQUE(TRIM(_xlfn.TEXTSPLIT(Table25[[#This Row],[Selection Option]:[Selection Option]],","))),,N$11),"")</f>
        <v>A</v>
      </c>
      <c r="O30" s="29" t="str" cm="1">
        <f t="array" ref="O30">IFERROR(INDEX(_xlfn.UNIQUE(TRIM(_xlfn.TEXTSPLIT(Table25[[#This Row],[Selection Option]],","))),,O$11),"")</f>
        <v>B</v>
      </c>
      <c r="P30" s="29" t="str" cm="1">
        <f t="array" ref="P30">IFERROR(INDEX(_xlfn.UNIQUE(TRIM(_xlfn.TEXTSPLIT(Table25[[#This Row],[Selection Option]],","))),,P$11),"")</f>
        <v>X</v>
      </c>
      <c r="Q30" s="29" t="str" cm="1">
        <f t="array" ref="Q30">IFERROR(INDEX(_xlfn.UNIQUE(TRIM(_xlfn.TEXTSPLIT(Table25[[#This Row],[Selection Option]],","))),,Q$11),"")</f>
        <v>Y</v>
      </c>
      <c r="R30" s="43" t="str" cm="1">
        <f t="array" ref="R30">IFERROR(INDEX(_xlfn.UNIQUE(TRIM(_xlfn.TEXTSPLIT(Table25[[#This Row],[Selection Option]],","))),,R$11),"")</f>
        <v/>
      </c>
      <c r="S30" s="29" t="str" cm="1">
        <f t="array" ref="S30">IFERROR(INDEX(_xlfn.UNIQUE(TRIM(_xlfn.TEXTSPLIT(Table25[[#This Row],[Selection Option]],","))),,S$11),"")</f>
        <v/>
      </c>
      <c r="T30" s="29" t="str" cm="1">
        <f t="array" ref="T30">IFERROR(INDEX(_xlfn.UNIQUE(TRIM(_xlfn.TEXTSPLIT(Table25[[#This Row],[Selection Option]],","))),,T$11),"")</f>
        <v/>
      </c>
      <c r="U30" s="29" t="str" cm="1">
        <f t="array" ref="U30">IFERROR(INDEX(_xlfn.UNIQUE(TRIM(_xlfn.TEXTSPLIT(Table25[[#This Row],[Selection Option]],","))),,U$11),"")</f>
        <v/>
      </c>
      <c r="V30" s="29" t="str" cm="1">
        <f t="array" ref="V30">IFERROR(INDEX(_xlfn.UNIQUE(TRIM(_xlfn.TEXTSPLIT(Table25[[#This Row],[Selection Option]],","))),,V$11),"")</f>
        <v/>
      </c>
      <c r="W30" s="29" t="str" cm="1">
        <f t="array" ref="W30">IFERROR(INDEX(_xlfn.UNIQUE(TRIM(_xlfn.TEXTSPLIT(Table25[[#This Row],[Selection Option]],","))),,W$11),"")</f>
        <v/>
      </c>
      <c r="X30" s="29" t="str" cm="1">
        <f t="array" ref="X30">IFERROR(INDEX(_xlfn.UNIQUE(TRIM(_xlfn.TEXTSPLIT(Table25[[#This Row],[Selection Option]],","))),,X$11),"")</f>
        <v/>
      </c>
      <c r="Y30" s="44" cm="1">
        <f t="array" ref="Y30">IF(Table25[[#This Row],[1]]="","",Table25[[#This Row],[Weight]:[Weight]]-(Table25[[#This Row],[Weight]:[Weight]]*((_xlfn.XMATCH(Table25[[#This Row],[1]],Table25[[#This Row],[1]:[11]],0))-1)/(COUNTA(Table25[[#This Row],[1]:[11]])-COUNTBLANK(Table25[[#This Row],[1]:[11]])-1)))</f>
        <v>0</v>
      </c>
      <c r="Z30" s="44" cm="1">
        <f t="array" ref="Z30">IF(Table25[[#This Row],[2]]="","",Table25[[#This Row],[Weight]:[Weight]]-(Table25[[#This Row],[Weight]:[Weight]]*((_xlfn.XMATCH(Table25[[#This Row],[2]],Table25[[#This Row],[1]:[11]],0))-1)/(COUNTA(Table25[[#This Row],[1]:[11]])-COUNTBLANK(Table25[[#This Row],[1]:[11]])-1)))</f>
        <v>0</v>
      </c>
      <c r="AA30" s="44" cm="1">
        <f t="array" ref="AA30">IF(Table25[[#This Row],[3]]="","",Table25[[#This Row],[Weight]:[Weight]]-(Table25[[#This Row],[Weight]:[Weight]]*((_xlfn.XMATCH(Table25[[#This Row],[3]],Table25[[#This Row],[1]:[11]],0))-1)/(COUNTA(Table25[[#This Row],[1]:[11]])-COUNTBLANK(Table25[[#This Row],[1]:[11]])-1)))</f>
        <v>0</v>
      </c>
      <c r="AB30" s="44" cm="1">
        <f t="array" ref="AB30">IF(Table25[[#This Row],[4]]="","",Table25[[#This Row],[Weight]:[Weight]]-(Table25[[#This Row],[Weight]:[Weight]]*((_xlfn.XMATCH(Table25[[#This Row],[4]],Table25[[#This Row],[1]:[11]],0))-1)/(COUNTA(Table25[[#This Row],[1]:[11]])-COUNTBLANK(Table25[[#This Row],[1]:[11]])-1)))</f>
        <v>0</v>
      </c>
      <c r="AC30" s="44" t="str" cm="1">
        <f t="array" ref="AC30">IF(Table25[[#This Row],[5]]="","",Table25[[#This Row],[Weight]:[Weight]]-(Table25[[#This Row],[Weight]:[Weight]]*((_xlfn.XMATCH(Table25[[#This Row],[5]],Table25[[#This Row],[1]:[11]],0))-1)/(COUNTA(Table25[[#This Row],[1]:[11]])-COUNTBLANK(Table25[[#This Row],[1]:[11]])-1)))</f>
        <v/>
      </c>
      <c r="AD30" s="44" t="str" cm="1">
        <f t="array" ref="AD30">IF(Table25[[#This Row],[6]]="","",Table25[[#This Row],[Weight]:[Weight]]-(Table25[[#This Row],[Weight]:[Weight]]*((_xlfn.XMATCH(Table25[[#This Row],[6]],Table25[[#This Row],[1]:[11]],0))-1)/(COUNTA(Table25[[#This Row],[1]:[11]])-COUNTBLANK(Table25[[#This Row],[1]:[11]])-1)))</f>
        <v/>
      </c>
      <c r="AE30" s="44" t="str" cm="1">
        <f t="array" ref="AE30">IF(Table25[[#This Row],[7]]="","",Table25[[#This Row],[Weight]:[Weight]]-(Table25[[#This Row],[Weight]:[Weight]]*((_xlfn.XMATCH(Table25[[#This Row],[7]],Table25[[#This Row],[1]:[11]],0))-1)/(COUNTA(Table25[[#This Row],[1]:[11]])-COUNTBLANK(Table25[[#This Row],[1]:[11]])-1)))</f>
        <v/>
      </c>
      <c r="AF30" s="44" t="str" cm="1">
        <f t="array" ref="AF30">IF(Table25[[#This Row],[8]]="","",Table25[[#This Row],[Weight]:[Weight]]-(Table25[[#This Row],[Weight]:[Weight]]*((_xlfn.XMATCH(Table25[[#This Row],[8]],Table25[[#This Row],[1]:[11]],0))-1)/(COUNTA(Table25[[#This Row],[1]:[11]])-COUNTBLANK(Table25[[#This Row],[1]:[11]])-1)))</f>
        <v/>
      </c>
      <c r="AG30" s="29" t="str" cm="1">
        <f t="array" ref="AG30">IF(Table25[[#This Row],[9]]="","",Table25[[#This Row],[Weight]:[Weight]]-(Table25[[#This Row],[Weight]:[Weight]]*((_xlfn.XMATCH(Table25[[#This Row],[9]],Table25[[#This Row],[1]:[11]],0))-1)/(COUNTA(Table25[[#This Row],[1]:[11]])-COUNTBLANK(Table25[[#This Row],[1]:[11]])-1)))</f>
        <v/>
      </c>
      <c r="AH30" s="29" t="str" cm="1">
        <f t="array" ref="AH30">IF(Table25[[#This Row],[10]]="","",Table25[[#This Row],[Weight]:[Weight]]-(Table25[[#This Row],[Weight]:[Weight]]*((_xlfn.XMATCH(Table25[[#This Row],[10]],Table25[[#This Row],[1]:[11]],0))-1)/(COUNTA(Table25[[#This Row],[1]:[11]])-COUNTBLANK(Table25[[#This Row],[1]:[11]])-1)))</f>
        <v/>
      </c>
      <c r="AI30" s="29" t="str" cm="1">
        <f t="array" ref="AI30">IF(Table25[[#This Row],[11]]="","",Table25[[#This Row],[Weight]:[Weight]]-(Table25[[#This Row],[Weight]:[Weight]]*((_xlfn.XMATCH(Table25[[#This Row],[11]],Table25[[#This Row],[1]:[11]],0))-1)/(COUNTA(Table25[[#This Row],[1]:[11]])-COUNTBLANK(Table25[[#This Row],[1]:[11]])-1)))</f>
        <v/>
      </c>
    </row>
    <row r="31" spans="1:35" ht="132" x14ac:dyDescent="0.2">
      <c r="A31" s="32">
        <v>17</v>
      </c>
      <c r="B31" s="40" t="s">
        <v>607</v>
      </c>
      <c r="C31" s="40" t="s">
        <v>608</v>
      </c>
      <c r="D31" s="40" t="s">
        <v>609</v>
      </c>
      <c r="E31" s="40" t="s">
        <v>610</v>
      </c>
      <c r="F31" s="34" t="s">
        <v>56</v>
      </c>
      <c r="G31" s="35" cm="1">
        <f t="array" ref="G31">_xlfn.IFS(F31="","",F31="No interest",0,F31="Nice to have",1,F31="Useful",2,F31="Important",3,F31="Very important",4,F31="Critical",5,F31="Show stopper",6)</f>
        <v>3</v>
      </c>
      <c r="H31" s="36">
        <f t="shared" si="1"/>
        <v>0</v>
      </c>
      <c r="I31" s="37" t="s">
        <v>611</v>
      </c>
      <c r="J31" s="37" t="str" cm="1">
        <f t="array" ref="J31">_xlfn.TEXTJOIN(" "&amp;CHAR(10),,TEXT(SUBSTITUTE(Table25[[#This Row],[12]:[22]],".",","),"0,00%"))</f>
        <v>0,00% 
0,00% 
0,00% 
0,00% 
0,00% 
0,00% 
0,00% 
0,00% 
0,00% 
0,00% 
0,00%</v>
      </c>
      <c r="K31" s="38" t="s">
        <v>36</v>
      </c>
      <c r="L31" s="39">
        <f>H31-(H31*((MATCH(Table25[[#This Row],[Evaluators Response (SELECT)]],Table25[[#This Row],[1]:[11]],0)-1)/(COUNTA(Table25[[#This Row],[1]:[11]])-COUNTBLANK(Table25[[#This Row],[1]:[11]])-1)))</f>
        <v>0</v>
      </c>
      <c r="M31" s="40"/>
      <c r="N31" s="29" t="str" cm="1">
        <f t="array" ref="N31">IFERROR(INDEX(_xlfn.UNIQUE(TRIM(_xlfn.TEXTSPLIT(Table25[[#This Row],[Selection Option]:[Selection Option]],","))),,N$11),"")</f>
        <v>10</v>
      </c>
      <c r="O31" s="29" t="str" cm="1">
        <f t="array" ref="O31">IFERROR(INDEX(_xlfn.UNIQUE(TRIM(_xlfn.TEXTSPLIT(Table25[[#This Row],[Selection Option]],","))),,O$11),"")</f>
        <v>9</v>
      </c>
      <c r="P31" s="29" t="str" cm="1">
        <f t="array" ref="P31">IFERROR(INDEX(_xlfn.UNIQUE(TRIM(_xlfn.TEXTSPLIT(Table25[[#This Row],[Selection Option]],","))),,P$11),"")</f>
        <v>8</v>
      </c>
      <c r="Q31" s="29" t="str" cm="1">
        <f t="array" ref="Q31">IFERROR(INDEX(_xlfn.UNIQUE(TRIM(_xlfn.TEXTSPLIT(Table25[[#This Row],[Selection Option]],","))),,Q$11),"")</f>
        <v>7</v>
      </c>
      <c r="R31" s="43" t="str" cm="1">
        <f t="array" ref="R31">IFERROR(INDEX(_xlfn.UNIQUE(TRIM(_xlfn.TEXTSPLIT(Table25[[#This Row],[Selection Option]],","))),,R$11),"")</f>
        <v>6</v>
      </c>
      <c r="S31" s="29" t="str" cm="1">
        <f t="array" ref="S31">IFERROR(INDEX(_xlfn.UNIQUE(TRIM(_xlfn.TEXTSPLIT(Table25[[#This Row],[Selection Option]],","))),,S$11),"")</f>
        <v>5</v>
      </c>
      <c r="T31" s="29" t="str" cm="1">
        <f t="array" ref="T31">IFERROR(INDEX(_xlfn.UNIQUE(TRIM(_xlfn.TEXTSPLIT(Table25[[#This Row],[Selection Option]],","))),,T$11),"")</f>
        <v>4</v>
      </c>
      <c r="U31" s="29" t="str" cm="1">
        <f t="array" ref="U31">IFERROR(INDEX(_xlfn.UNIQUE(TRIM(_xlfn.TEXTSPLIT(Table25[[#This Row],[Selection Option]],","))),,U$11),"")</f>
        <v>3</v>
      </c>
      <c r="V31" s="29" t="str" cm="1">
        <f t="array" ref="V31">IFERROR(INDEX(_xlfn.UNIQUE(TRIM(_xlfn.TEXTSPLIT(Table25[[#This Row],[Selection Option]],","))),,V$11),"")</f>
        <v>2</v>
      </c>
      <c r="W31" s="29" t="str" cm="1">
        <f t="array" ref="W31">IFERROR(INDEX(_xlfn.UNIQUE(TRIM(_xlfn.TEXTSPLIT(Table25[[#This Row],[Selection Option]],","))),,W$11),"")</f>
        <v>1</v>
      </c>
      <c r="X31" s="29" t="str" cm="1">
        <f t="array" ref="X31">IFERROR(INDEX(_xlfn.UNIQUE(TRIM(_xlfn.TEXTSPLIT(Table25[[#This Row],[Selection Option]],","))),,X$11),"")</f>
        <v>0</v>
      </c>
      <c r="Y31" s="44" cm="1">
        <f t="array" ref="Y31">IF(Table25[[#This Row],[1]]="","",Table25[[#This Row],[Weight]:[Weight]]-(Table25[[#This Row],[Weight]:[Weight]]*((_xlfn.XMATCH(Table25[[#This Row],[1]],Table25[[#This Row],[1]:[11]],0))-1)/(COUNTA(Table25[[#This Row],[1]:[11]])-COUNTBLANK(Table25[[#This Row],[1]:[11]])-1)))</f>
        <v>0</v>
      </c>
      <c r="Z31" s="44" cm="1">
        <f t="array" ref="Z31">IF(Table25[[#This Row],[2]]="","",Table25[[#This Row],[Weight]:[Weight]]-(Table25[[#This Row],[Weight]:[Weight]]*((_xlfn.XMATCH(Table25[[#This Row],[2]],Table25[[#This Row],[1]:[11]],0))-1)/(COUNTA(Table25[[#This Row],[1]:[11]])-COUNTBLANK(Table25[[#This Row],[1]:[11]])-1)))</f>
        <v>0</v>
      </c>
      <c r="AA31" s="44" cm="1">
        <f t="array" ref="AA31">IF(Table25[[#This Row],[3]]="","",Table25[[#This Row],[Weight]:[Weight]]-(Table25[[#This Row],[Weight]:[Weight]]*((_xlfn.XMATCH(Table25[[#This Row],[3]],Table25[[#This Row],[1]:[11]],0))-1)/(COUNTA(Table25[[#This Row],[1]:[11]])-COUNTBLANK(Table25[[#This Row],[1]:[11]])-1)))</f>
        <v>0</v>
      </c>
      <c r="AB31" s="44" cm="1">
        <f t="array" ref="AB31">IF(Table25[[#This Row],[4]]="","",Table25[[#This Row],[Weight]:[Weight]]-(Table25[[#This Row],[Weight]:[Weight]]*((_xlfn.XMATCH(Table25[[#This Row],[4]],Table25[[#This Row],[1]:[11]],0))-1)/(COUNTA(Table25[[#This Row],[1]:[11]])-COUNTBLANK(Table25[[#This Row],[1]:[11]])-1)))</f>
        <v>0</v>
      </c>
      <c r="AC31" s="44" cm="1">
        <f t="array" ref="AC31">IF(Table25[[#This Row],[5]]="","",Table25[[#This Row],[Weight]:[Weight]]-(Table25[[#This Row],[Weight]:[Weight]]*((_xlfn.XMATCH(Table25[[#This Row],[5]],Table25[[#This Row],[1]:[11]],0))-1)/(COUNTA(Table25[[#This Row],[1]:[11]])-COUNTBLANK(Table25[[#This Row],[1]:[11]])-1)))</f>
        <v>0</v>
      </c>
      <c r="AD31" s="44" cm="1">
        <f t="array" ref="AD31">IF(Table25[[#This Row],[6]]="","",Table25[[#This Row],[Weight]:[Weight]]-(Table25[[#This Row],[Weight]:[Weight]]*((_xlfn.XMATCH(Table25[[#This Row],[6]],Table25[[#This Row],[1]:[11]],0))-1)/(COUNTA(Table25[[#This Row],[1]:[11]])-COUNTBLANK(Table25[[#This Row],[1]:[11]])-1)))</f>
        <v>0</v>
      </c>
      <c r="AE31" s="44" cm="1">
        <f t="array" ref="AE31">IF(Table25[[#This Row],[7]]="","",Table25[[#This Row],[Weight]:[Weight]]-(Table25[[#This Row],[Weight]:[Weight]]*((_xlfn.XMATCH(Table25[[#This Row],[7]],Table25[[#This Row],[1]:[11]],0))-1)/(COUNTA(Table25[[#This Row],[1]:[11]])-COUNTBLANK(Table25[[#This Row],[1]:[11]])-1)))</f>
        <v>0</v>
      </c>
      <c r="AF31" s="44" cm="1">
        <f t="array" ref="AF31">IF(Table25[[#This Row],[8]]="","",Table25[[#This Row],[Weight]:[Weight]]-(Table25[[#This Row],[Weight]:[Weight]]*((_xlfn.XMATCH(Table25[[#This Row],[8]],Table25[[#This Row],[1]:[11]],0))-1)/(COUNTA(Table25[[#This Row],[1]:[11]])-COUNTBLANK(Table25[[#This Row],[1]:[11]])-1)))</f>
        <v>0</v>
      </c>
      <c r="AG31" s="29" cm="1">
        <f t="array" ref="AG31">IF(Table25[[#This Row],[9]]="","",Table25[[#This Row],[Weight]:[Weight]]-(Table25[[#This Row],[Weight]:[Weight]]*((_xlfn.XMATCH(Table25[[#This Row],[9]],Table25[[#This Row],[1]:[11]],0))-1)/(COUNTA(Table25[[#This Row],[1]:[11]])-COUNTBLANK(Table25[[#This Row],[1]:[11]])-1)))</f>
        <v>0</v>
      </c>
      <c r="AH31" s="29" cm="1">
        <f t="array" ref="AH31">IF(Table25[[#This Row],[10]]="","",Table25[[#This Row],[Weight]:[Weight]]-(Table25[[#This Row],[Weight]:[Weight]]*((_xlfn.XMATCH(Table25[[#This Row],[10]],Table25[[#This Row],[1]:[11]],0))-1)/(COUNTA(Table25[[#This Row],[1]:[11]])-COUNTBLANK(Table25[[#This Row],[1]:[11]])-1)))</f>
        <v>0</v>
      </c>
      <c r="AI31" s="29" cm="1">
        <f t="array" ref="AI31">IF(Table25[[#This Row],[11]]="","",Table25[[#This Row],[Weight]:[Weight]]-(Table25[[#This Row],[Weight]:[Weight]]*((_xlfn.XMATCH(Table25[[#This Row],[11]],Table25[[#This Row],[1]:[11]],0))-1)/(COUNTA(Table25[[#This Row],[1]:[11]])-COUNTBLANK(Table25[[#This Row],[1]:[11]])-1)))</f>
        <v>0</v>
      </c>
    </row>
  </sheetData>
  <sheetProtection insertRows="0" insertHyperlinks="0" deleteRows="0" autoFilter="0"/>
  <mergeCells count="4">
    <mergeCell ref="A10:A11"/>
    <mergeCell ref="B10:C11"/>
    <mergeCell ref="D10:E11"/>
    <mergeCell ref="E2:F3"/>
  </mergeCells>
  <conditionalFormatting sqref="K13:K31">
    <cfRule type="expression" dxfId="1" priority="1">
      <formula>COUNTIF(N13:X13,K13)&lt;&gt;1</formula>
    </cfRule>
  </conditionalFormatting>
  <dataValidations count="4">
    <dataValidation type="list" allowBlank="1" showInputMessage="1" showErrorMessage="1" sqref="K13:K31" xr:uid="{C1D44966-844E-4A5C-9B93-5CD09E9BE0E3}">
      <formula1>$N13:$X13</formula1>
    </dataValidation>
    <dataValidation type="list" allowBlank="1" showInputMessage="1" showErrorMessage="1" sqref="F13:F31" xr:uid="{CA214AE9-8923-4070-8159-DAD0303B35CF}">
      <formula1>"No interest,Nice to have,Useful,Important,Very important,Critical,Show stopper"</formula1>
    </dataValidation>
    <dataValidation type="list" allowBlank="1" showInputMessage="1" showErrorMessage="1" sqref="H13:H31" xr:uid="{9EABA9E1-F76D-40ED-80CD-43AA7825344D}">
      <formula1>N13:R13</formula1>
    </dataValidation>
    <dataValidation type="list" allowBlank="1" showInputMessage="1" showErrorMessage="1" sqref="M14" xr:uid="{4F3B19B7-BFC1-4159-BFE5-A4DF6DF5CEC2}">
      <formula1>_xlfn.UNIQUE(TRIM(_xlfn.TEXTSPLIT(#REF!,",")))</formula1>
    </dataValidation>
  </dataValidations>
  <pageMargins left="0.7" right="0.7" top="0.75" bottom="0.75" header="0.3" footer="0.3"/>
  <pageSetup orientation="portrait" r:id="rId1"/>
  <drawing r:id="rId2"/>
  <legacyDrawing r:id="rId3"/>
  <tableParts count="1">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4B9CC-840D-4523-8AE7-1A7FA45C36BC}">
  <sheetPr>
    <tabColor theme="0"/>
    <pageSetUpPr fitToPage="1"/>
  </sheetPr>
  <dimension ref="A2:AI31"/>
  <sheetViews>
    <sheetView zoomScaleNormal="100" workbookViewId="0">
      <pane xSplit="1" ySplit="11" topLeftCell="B12" activePane="bottomRight" state="frozen"/>
      <selection pane="topRight" activeCell="B1" sqref="B1"/>
      <selection pane="bottomLeft" activeCell="A4" sqref="A4"/>
      <selection pane="bottomRight" activeCell="D13" sqref="D13"/>
    </sheetView>
  </sheetViews>
  <sheetFormatPr defaultColWidth="5.5703125" defaultRowHeight="12" x14ac:dyDescent="0.2"/>
  <cols>
    <col min="1" max="1" width="3" style="6" bestFit="1" customWidth="1"/>
    <col min="2" max="2" width="44.140625" style="6" customWidth="1"/>
    <col min="3" max="3" width="38.85546875" style="6" customWidth="1"/>
    <col min="4" max="4" width="28.5703125" style="6" bestFit="1" customWidth="1"/>
    <col min="5" max="5" width="31.28515625" style="6" bestFit="1" customWidth="1"/>
    <col min="6" max="6" width="18.5703125" style="6" bestFit="1" customWidth="1"/>
    <col min="7" max="7" width="11.28515625" style="6" bestFit="1" customWidth="1"/>
    <col min="8" max="8" width="13.7109375" style="6" bestFit="1" customWidth="1"/>
    <col min="9" max="9" width="19.42578125" style="6" bestFit="1" customWidth="1"/>
    <col min="10" max="10" width="8" style="6" customWidth="1"/>
    <col min="11" max="11" width="15.85546875" style="6" customWidth="1"/>
    <col min="12" max="12" width="7.85546875" style="45" bestFit="1" customWidth="1"/>
    <col min="13" max="13" width="19.7109375" style="6" bestFit="1" customWidth="1"/>
    <col min="14" max="14" width="6.5703125" style="46" hidden="1" customWidth="1"/>
    <col min="15" max="24" width="6.42578125" style="46" hidden="1" customWidth="1"/>
    <col min="25" max="25" width="8" style="6" hidden="1" customWidth="1"/>
    <col min="26" max="26" width="5.5703125" style="6" hidden="1" customWidth="1"/>
    <col min="27" max="32" width="6.140625" style="6" hidden="1" customWidth="1"/>
    <col min="33" max="35" width="5.5703125" style="6" hidden="1" customWidth="1"/>
    <col min="36" max="16384" width="5.5703125" style="6"/>
  </cols>
  <sheetData>
    <row r="2" spans="1:35" ht="15" x14ac:dyDescent="0.25">
      <c r="B2" s="90" t="s">
        <v>82</v>
      </c>
      <c r="C2" s="91" t="s">
        <v>83</v>
      </c>
      <c r="E2" s="303" t="s">
        <v>246</v>
      </c>
      <c r="F2" s="304"/>
    </row>
    <row r="3" spans="1:35" ht="15.75" customHeight="1" x14ac:dyDescent="0.25">
      <c r="B3" s="90" t="s">
        <v>84</v>
      </c>
      <c r="C3" s="91" t="s">
        <v>83</v>
      </c>
      <c r="E3" s="305"/>
      <c r="F3" s="306"/>
    </row>
    <row r="4" spans="1:35" ht="15.75" x14ac:dyDescent="0.25">
      <c r="B4" s="90" t="s">
        <v>86</v>
      </c>
      <c r="C4" s="93" t="s">
        <v>87</v>
      </c>
      <c r="D4" s="55"/>
      <c r="E4" s="170" t="s">
        <v>75</v>
      </c>
      <c r="F4" s="176"/>
    </row>
    <row r="5" spans="1:35" ht="15.75" x14ac:dyDescent="0.25">
      <c r="B5" s="90" t="s">
        <v>88</v>
      </c>
      <c r="C5" s="93" t="s">
        <v>87</v>
      </c>
      <c r="D5" s="55"/>
      <c r="E5" s="172"/>
      <c r="F5" s="175"/>
    </row>
    <row r="6" spans="1:35" ht="15.75" x14ac:dyDescent="0.25">
      <c r="B6" s="90" t="s">
        <v>90</v>
      </c>
      <c r="C6" s="93" t="s">
        <v>87</v>
      </c>
      <c r="D6" s="55"/>
      <c r="E6" s="55"/>
    </row>
    <row r="7" spans="1:35" ht="42.75" customHeight="1" x14ac:dyDescent="0.25">
      <c r="B7" s="90" t="s">
        <v>91</v>
      </c>
      <c r="C7" s="93"/>
      <c r="D7" s="57"/>
      <c r="E7" s="55"/>
    </row>
    <row r="10" spans="1:35" ht="15" customHeight="1" x14ac:dyDescent="0.2">
      <c r="A10" s="283"/>
      <c r="B10" s="285" t="s">
        <v>14</v>
      </c>
      <c r="C10" s="285"/>
      <c r="D10" s="287" t="s">
        <v>15</v>
      </c>
      <c r="E10" s="288"/>
      <c r="F10" s="1" t="s">
        <v>16</v>
      </c>
      <c r="G10" s="2"/>
      <c r="H10" s="3"/>
      <c r="I10" s="3"/>
      <c r="J10" s="3"/>
      <c r="K10" s="3"/>
      <c r="L10" s="4"/>
      <c r="M10" s="5"/>
      <c r="N10" s="4"/>
      <c r="O10" s="4"/>
      <c r="P10" s="4"/>
      <c r="Q10" s="4"/>
      <c r="R10" s="4"/>
      <c r="S10" s="4"/>
      <c r="T10" s="4"/>
      <c r="U10" s="4"/>
      <c r="V10" s="4"/>
      <c r="W10" s="4"/>
      <c r="X10" s="4"/>
      <c r="Y10" s="4"/>
      <c r="Z10" s="4"/>
      <c r="AA10" s="4"/>
      <c r="AB10" s="4"/>
      <c r="AC10" s="4"/>
      <c r="AD10" s="4"/>
      <c r="AE10" s="4"/>
      <c r="AF10" s="4"/>
      <c r="AG10" s="4"/>
      <c r="AH10" s="4"/>
      <c r="AI10" s="4"/>
    </row>
    <row r="11" spans="1:35" x14ac:dyDescent="0.2">
      <c r="A11" s="284"/>
      <c r="B11" s="286"/>
      <c r="C11" s="286"/>
      <c r="D11" s="289"/>
      <c r="E11" s="289"/>
      <c r="F11" s="177">
        <f>'Scoring Summary'!C19</f>
        <v>0</v>
      </c>
      <c r="G11" s="48">
        <f>SUM(Table2678[Priority])</f>
        <v>74</v>
      </c>
      <c r="H11" s="8">
        <f>SUM(Table2678[Weight])</f>
        <v>0</v>
      </c>
      <c r="I11" s="7"/>
      <c r="J11" s="7"/>
      <c r="K11" s="9" t="s">
        <v>17</v>
      </c>
      <c r="L11" s="8">
        <f>SUM(Table2678[Score])</f>
        <v>0</v>
      </c>
      <c r="M11" s="7"/>
      <c r="N11" s="10">
        <v>1</v>
      </c>
      <c r="O11" s="10">
        <v>2</v>
      </c>
      <c r="P11" s="10">
        <v>3</v>
      </c>
      <c r="Q11" s="10">
        <v>4</v>
      </c>
      <c r="R11" s="10">
        <v>5</v>
      </c>
      <c r="S11" s="10">
        <v>6</v>
      </c>
      <c r="T11" s="10">
        <v>7</v>
      </c>
      <c r="U11" s="10">
        <v>8</v>
      </c>
      <c r="V11" s="10">
        <v>9</v>
      </c>
      <c r="W11" s="10">
        <v>10</v>
      </c>
      <c r="X11" s="10">
        <v>11</v>
      </c>
      <c r="Y11" s="10">
        <v>12</v>
      </c>
      <c r="Z11" s="10">
        <v>13</v>
      </c>
      <c r="AA11" s="10">
        <v>14</v>
      </c>
      <c r="AB11" s="10">
        <v>15</v>
      </c>
      <c r="AC11" s="10">
        <v>16</v>
      </c>
      <c r="AD11" s="10">
        <v>17</v>
      </c>
      <c r="AE11" s="10">
        <v>18</v>
      </c>
      <c r="AF11" s="10">
        <v>19</v>
      </c>
      <c r="AG11" s="10">
        <v>20</v>
      </c>
      <c r="AH11" s="10">
        <v>21</v>
      </c>
      <c r="AI11" s="10">
        <v>22</v>
      </c>
    </row>
    <row r="12" spans="1:35" ht="60" x14ac:dyDescent="0.2">
      <c r="A12" s="11" t="s">
        <v>18</v>
      </c>
      <c r="B12" s="12" t="s">
        <v>19</v>
      </c>
      <c r="C12" s="13" t="s">
        <v>20</v>
      </c>
      <c r="D12" s="14" t="s">
        <v>21</v>
      </c>
      <c r="E12" s="14" t="s">
        <v>22</v>
      </c>
      <c r="F12" s="15" t="s">
        <v>23</v>
      </c>
      <c r="G12" s="16" t="s">
        <v>24</v>
      </c>
      <c r="H12" s="16" t="s">
        <v>25</v>
      </c>
      <c r="I12" s="15" t="s">
        <v>114</v>
      </c>
      <c r="J12" s="16" t="s">
        <v>27</v>
      </c>
      <c r="K12" s="15" t="s">
        <v>28</v>
      </c>
      <c r="L12" s="17" t="s">
        <v>29</v>
      </c>
      <c r="M12" s="15" t="s">
        <v>30</v>
      </c>
      <c r="N12" s="18" t="s">
        <v>31</v>
      </c>
      <c r="O12" s="18" t="s">
        <v>32</v>
      </c>
      <c r="P12" s="18" t="s">
        <v>33</v>
      </c>
      <c r="Q12" s="18" t="s">
        <v>34</v>
      </c>
      <c r="R12" s="18" t="s">
        <v>35</v>
      </c>
      <c r="S12" s="18" t="s">
        <v>36</v>
      </c>
      <c r="T12" s="18" t="s">
        <v>37</v>
      </c>
      <c r="U12" s="18" t="s">
        <v>38</v>
      </c>
      <c r="V12" s="18" t="s">
        <v>39</v>
      </c>
      <c r="W12" s="18" t="s">
        <v>40</v>
      </c>
      <c r="X12" s="18" t="s">
        <v>41</v>
      </c>
      <c r="Y12" s="19" t="s">
        <v>42</v>
      </c>
      <c r="Z12" s="19" t="s">
        <v>43</v>
      </c>
      <c r="AA12" s="19" t="s">
        <v>44</v>
      </c>
      <c r="AB12" s="19" t="s">
        <v>45</v>
      </c>
      <c r="AC12" s="19" t="s">
        <v>46</v>
      </c>
      <c r="AD12" s="19" t="s">
        <v>47</v>
      </c>
      <c r="AE12" s="19" t="s">
        <v>48</v>
      </c>
      <c r="AF12" s="19" t="s">
        <v>49</v>
      </c>
      <c r="AG12" s="19" t="s">
        <v>50</v>
      </c>
      <c r="AH12" s="19" t="s">
        <v>51</v>
      </c>
      <c r="AI12" s="19" t="s">
        <v>52</v>
      </c>
    </row>
    <row r="13" spans="1:35" ht="84" x14ac:dyDescent="0.2">
      <c r="A13" s="20">
        <v>1</v>
      </c>
      <c r="B13" s="21" t="s">
        <v>441</v>
      </c>
      <c r="C13" s="21" t="s">
        <v>442</v>
      </c>
      <c r="D13" s="21"/>
      <c r="E13" s="21" t="s">
        <v>55</v>
      </c>
      <c r="F13" s="22" t="s">
        <v>443</v>
      </c>
      <c r="G13" s="23" cm="1">
        <f t="array" ref="G13">_xlfn.IFS(F13="","",F13="No interest",0,F13="Nice to have",1,F13="Useful",2,F13="Important",3,F13="Very important",4,F13="Critical",5,F13="Show stopper",6)</f>
        <v>1</v>
      </c>
      <c r="H13" s="24">
        <f t="shared" ref="H13:H16" si="0">(G13/$G$11)*$F$11</f>
        <v>0</v>
      </c>
      <c r="I13" s="25" t="s">
        <v>444</v>
      </c>
      <c r="J13" s="25" t="str" cm="1">
        <f t="array" ref="J13">_xlfn.TEXTJOIN(" "&amp;CHAR(10),,TEXT(SUBSTITUTE(Table2678[[#This Row],[12]:[22]],".",","),"0,00%"))</f>
        <v>0,00% 
0,00%</v>
      </c>
      <c r="K13" s="26" t="s">
        <v>445</v>
      </c>
      <c r="L13" s="27">
        <f>H13-(H13*((MATCH(Table2678[[#This Row],[Evaluators Response (SELECT)]],Table2678[[#This Row],[1]:[11]],0)-1)/(COUNTA(Table2678[[#This Row],[1]:[11]])-COUNTBLANK(Table2678[[#This Row],[1]:[11]])-1)))</f>
        <v>0</v>
      </c>
      <c r="M13" s="28"/>
      <c r="N13" s="29" t="str" cm="1">
        <f t="array" ref="N13">IFERROR(INDEX(_xlfn.UNIQUE(TRIM(_xlfn.TEXTSPLIT(Table2678[[#This Row],[Selection Options]:[Selection Options]],","))),,N$11),"")</f>
        <v>Compatible</v>
      </c>
      <c r="O13" s="29" t="str" cm="1">
        <f t="array" ref="O13">IFERROR(INDEX(_xlfn.UNIQUE(TRIM(_xlfn.TEXTSPLIT(Table2678[[#This Row],[Selection Options]:[Selection Options]],","))),,O$11),"")</f>
        <v xml:space="preserve">
Incompatible</v>
      </c>
      <c r="P13" s="29" t="str" cm="1">
        <f t="array" ref="P13">IFERROR(INDEX(_xlfn.UNIQUE(TRIM(_xlfn.TEXTSPLIT(Table2678[[#This Row],[Selection Options]:[Selection Options]],","))),,P$11),"")</f>
        <v/>
      </c>
      <c r="Q13" s="29" t="str" cm="1">
        <f t="array" ref="Q13">IFERROR(INDEX(_xlfn.UNIQUE(TRIM(_xlfn.TEXTSPLIT(Table2678[[#This Row],[Selection Options]:[Selection Options]],","))),,Q$11),"")</f>
        <v/>
      </c>
      <c r="R13" s="29" t="str" cm="1">
        <f t="array" ref="R13">IFERROR(INDEX(_xlfn.UNIQUE(TRIM(_xlfn.TEXTSPLIT(Table2678[[#This Row],[Selection Options]:[Selection Options]],","))),,R$11),"")</f>
        <v/>
      </c>
      <c r="S13" s="29" t="str" cm="1">
        <f t="array" ref="S13">IFERROR(INDEX(_xlfn.UNIQUE(TRIM(_xlfn.TEXTSPLIT(Table2678[[#This Row],[Selection Options]:[Selection Options]],","))),,S$11),"")</f>
        <v/>
      </c>
      <c r="T13" s="29" t="str" cm="1">
        <f t="array" ref="T13">IFERROR(INDEX(_xlfn.UNIQUE(TRIM(_xlfn.TEXTSPLIT(Table2678[[#This Row],[Selection Options]:[Selection Options]],","))),,T$11),"")</f>
        <v/>
      </c>
      <c r="U13" s="29" t="str" cm="1">
        <f t="array" ref="U13">IFERROR(INDEX(_xlfn.UNIQUE(TRIM(_xlfn.TEXTSPLIT(Table2678[[#This Row],[Selection Options]:[Selection Options]],","))),,U$11),"")</f>
        <v/>
      </c>
      <c r="V13" s="29" t="str" cm="1">
        <f t="array" ref="V13">IFERROR(INDEX(_xlfn.UNIQUE(TRIM(_xlfn.TEXTSPLIT(Table2678[[#This Row],[Selection Options]:[Selection Options]],","))),,V$11),"")</f>
        <v/>
      </c>
      <c r="W13" s="29" t="str" cm="1">
        <f t="array" ref="W13">IFERROR(INDEX(_xlfn.UNIQUE(TRIM(_xlfn.TEXTSPLIT(Table2678[[#This Row],[Selection Options]:[Selection Options]],","))),,W$11),"")</f>
        <v/>
      </c>
      <c r="X13" s="29" t="str" cm="1">
        <f t="array" ref="X13">IFERROR(INDEX(_xlfn.UNIQUE(TRIM(_xlfn.TEXTSPLIT(Table2678[[#This Row],[Selection Options]:[Selection Options]],","))),,X$11),"")</f>
        <v/>
      </c>
      <c r="Y13" s="30" cm="1">
        <f t="array" ref="Y13">IF(Table2678[[#This Row],[1]]="","",Table2678[[#This Row],[Weight]:[Weight]]-(Table2678[[#This Row],[Weight]:[Weight]]*((_xlfn.XMATCH(Table2678[[#This Row],[1]],Table2678[[#This Row],[1]:[11]],0))-1)/(COUNTA(Table2678[[#This Row],[1]:[11]])-COUNTBLANK(Table2678[[#This Row],[1]:[11]])-1)))</f>
        <v>0</v>
      </c>
      <c r="Z13" s="30" cm="1">
        <f t="array" ref="Z13">IF(Table2678[[#This Row],[2]]="","",Table2678[[#This Row],[Weight]:[Weight]]-(Table2678[[#This Row],[Weight]:[Weight]]*((_xlfn.XMATCH(Table2678[[#This Row],[2]],Table2678[[#This Row],[1]:[11]],0))-1)/(COUNTA(Table2678[[#This Row],[1]:[11]])-COUNTBLANK(Table2678[[#This Row],[1]:[11]])-1)))</f>
        <v>0</v>
      </c>
      <c r="AA13" s="30" t="str" cm="1">
        <f t="array" ref="AA13">IF(Table2678[[#This Row],[3]]="","",Table2678[[#This Row],[Weight]:[Weight]]-(Table2678[[#This Row],[Weight]:[Weight]]*((_xlfn.XMATCH(Table2678[[#This Row],[3]],Table2678[[#This Row],[1]:[11]],0))-1)/(COUNTA(Table2678[[#This Row],[1]:[11]])-COUNTBLANK(Table2678[[#This Row],[1]:[11]])-1)))</f>
        <v/>
      </c>
      <c r="AB13" s="30" t="str" cm="1">
        <f t="array" ref="AB13">IF(Table2678[[#This Row],[4]]="","",Table2678[[#This Row],[Weight]:[Weight]]-(Table2678[[#This Row],[Weight]:[Weight]]*((_xlfn.XMATCH(Table2678[[#This Row],[4]],Table2678[[#This Row],[1]:[11]],0))-1)/(COUNTA(Table2678[[#This Row],[1]:[11]])-COUNTBLANK(Table2678[[#This Row],[1]:[11]])-1)))</f>
        <v/>
      </c>
      <c r="AC13" s="30" t="str" cm="1">
        <f t="array" ref="AC13">IF(Table2678[[#This Row],[5]]="","",Table2678[[#This Row],[Weight]:[Weight]]-(Table2678[[#This Row],[Weight]:[Weight]]*((_xlfn.XMATCH(Table2678[[#This Row],[5]],Table2678[[#This Row],[1]:[11]],0))-1)/(COUNTA(Table2678[[#This Row],[1]:[11]])-COUNTBLANK(Table2678[[#This Row],[1]:[11]])-1)))</f>
        <v/>
      </c>
      <c r="AD13" s="30" t="str" cm="1">
        <f t="array" ref="AD13">IF(Table2678[[#This Row],[6]]="","",Table2678[[#This Row],[Weight]:[Weight]]-(Table2678[[#This Row],[Weight]:[Weight]]*((_xlfn.XMATCH(Table2678[[#This Row],[6]],Table2678[[#This Row],[1]:[11]],0))-1)/(COUNTA(Table2678[[#This Row],[1]:[11]])-COUNTBLANK(Table2678[[#This Row],[1]:[11]])-1)))</f>
        <v/>
      </c>
      <c r="AE13" s="30" t="str" cm="1">
        <f t="array" ref="AE13">IF(Table2678[[#This Row],[7]]="","",Table2678[[#This Row],[Weight]:[Weight]]-(Table2678[[#This Row],[Weight]:[Weight]]*((_xlfn.XMATCH(Table2678[[#This Row],[7]],Table2678[[#This Row],[1]:[11]],0))-1)/(COUNTA(Table2678[[#This Row],[1]:[11]])-COUNTBLANK(Table2678[[#This Row],[1]:[11]])-1)))</f>
        <v/>
      </c>
      <c r="AF13" s="30" t="str" cm="1">
        <f t="array" ref="AF13">IF(Table2678[[#This Row],[8]]="","",Table2678[[#This Row],[Weight]:[Weight]]-(Table2678[[#This Row],[Weight]:[Weight]]*((_xlfn.XMATCH(Table2678[[#This Row],[8]],Table2678[[#This Row],[1]:[11]],0))-1)/(COUNTA(Table2678[[#This Row],[1]:[11]])-COUNTBLANK(Table2678[[#This Row],[1]:[11]])-1)))</f>
        <v/>
      </c>
      <c r="AG13" s="30" t="str" cm="1">
        <f t="array" ref="AG13">IF(Table2678[[#This Row],[9]]="","",Table2678[[#This Row],[Weight]:[Weight]]-(Table2678[[#This Row],[Weight]:[Weight]]*((_xlfn.XMATCH(Table2678[[#This Row],[9]],Table2678[[#This Row],[1]:[11]],0))-1)/(COUNTA(Table2678[[#This Row],[1]:[11]])-COUNTBLANK(Table2678[[#This Row],[1]:[11]])-1)))</f>
        <v/>
      </c>
      <c r="AH13" s="30" t="str" cm="1">
        <f t="array" ref="AH13">IF(Table2678[[#This Row],[10]]="","",Table2678[[#This Row],[Weight]:[Weight]]-(Table2678[[#This Row],[Weight]:[Weight]]*((_xlfn.XMATCH(Table2678[[#This Row],[10]],Table2678[[#This Row],[1]:[11]],0))-1)/(COUNTA(Table2678[[#This Row],[1]:[11]])-COUNTBLANK(Table2678[[#This Row],[1]:[11]])-1)))</f>
        <v/>
      </c>
      <c r="AI13" s="30" t="str" cm="1">
        <f t="array" ref="AI13">IF(Table2678[[#This Row],[11]]="","",Table2678[[#This Row],[Weight]:[Weight]]-(Table2678[[#This Row],[Weight]:[Weight]]*((_xlfn.XMATCH(Table2678[[#This Row],[11]],Table2678[[#This Row],[1]:[11]],0))-1)/(COUNTA(Table2678[[#This Row],[1]:[11]])-COUNTBLANK(Table2678[[#This Row],[1]:[11]])-1)))</f>
        <v/>
      </c>
    </row>
    <row r="14" spans="1:35" ht="48" x14ac:dyDescent="0.2">
      <c r="A14" s="20">
        <v>2</v>
      </c>
      <c r="B14" s="31"/>
      <c r="C14" s="31" t="s">
        <v>59</v>
      </c>
      <c r="D14" s="31"/>
      <c r="E14" s="31"/>
      <c r="F14" s="22" t="s">
        <v>106</v>
      </c>
      <c r="G14" s="23" cm="1">
        <f t="array" ref="G14">_xlfn.IFS(F14="","",F14="No interest",0,F14="Nice to have",1,F14="Useful",2,F14="Important",3,F14="Very important",4,F14="Critical",5,F14="Show stopper",6)</f>
        <v>5</v>
      </c>
      <c r="H14" s="24">
        <f t="shared" si="0"/>
        <v>0</v>
      </c>
      <c r="I14" s="25" t="s">
        <v>61</v>
      </c>
      <c r="J14" s="25" t="str" cm="1">
        <f t="array" ref="J14">_xlfn.TEXTJOIN(" "&amp;CHAR(10),,TEXT(SUBSTITUTE(Table2678[[#This Row],[12]:[22]],".",","),"0,00%"))</f>
        <v>0,00% 
0,00% 
0,00% 
0,00%</v>
      </c>
      <c r="K14" s="26" t="s">
        <v>62</v>
      </c>
      <c r="L14" s="27">
        <f>H14-(H14*((MATCH(Table2678[[#This Row],[Evaluators Response (SELECT)]],Table2678[[#This Row],[1]:[11]],0)-1)/(COUNTA(Table2678[[#This Row],[1]:[11]])-COUNTBLANK(Table2678[[#This Row],[1]:[11]])-1)))</f>
        <v>0</v>
      </c>
      <c r="M14" s="28"/>
      <c r="N14" s="29" t="str" cm="1">
        <f t="array" ref="N14">IFERROR(INDEX(_xlfn.UNIQUE(TRIM(_xlfn.TEXTSPLIT(Table2678[[#This Row],[Selection Options]:[Selection Options]],","))),,N$11),"")</f>
        <v>abc</v>
      </c>
      <c r="O14" s="29" t="str" cm="1">
        <f t="array" ref="O14">IFERROR(INDEX(_xlfn.UNIQUE(TRIM(_xlfn.TEXTSPLIT(Table2678[[#This Row],[Selection Options]:[Selection Options]],","))),,O$11),"")</f>
        <v xml:space="preserve">
klm</v>
      </c>
      <c r="P14" s="29" t="str" cm="1">
        <f t="array" ref="P14">IFERROR(INDEX(_xlfn.UNIQUE(TRIM(_xlfn.TEXTSPLIT(Table2678[[#This Row],[Selection Options]:[Selection Options]],","))),,P$11),"")</f>
        <v xml:space="preserve">
pqr</v>
      </c>
      <c r="Q14" s="29" t="str" cm="1">
        <f t="array" ref="Q14">IFERROR(INDEX(_xlfn.UNIQUE(TRIM(_xlfn.TEXTSPLIT(Table2678[[#This Row],[Selection Options]:[Selection Options]],","))),,Q$11),"")</f>
        <v xml:space="preserve">
xyz</v>
      </c>
      <c r="R14" s="29" t="str" cm="1">
        <f t="array" ref="R14">IFERROR(INDEX(_xlfn.UNIQUE(TRIM(_xlfn.TEXTSPLIT(Table2678[[#This Row],[Selection Options]:[Selection Options]],","))),,R$11),"")</f>
        <v/>
      </c>
      <c r="S14" s="29" t="str" cm="1">
        <f t="array" ref="S14">IFERROR(INDEX(_xlfn.UNIQUE(TRIM(_xlfn.TEXTSPLIT(Table2678[[#This Row],[Selection Options]:[Selection Options]],","))),,S$11),"")</f>
        <v/>
      </c>
      <c r="T14" s="29" t="str" cm="1">
        <f t="array" ref="T14">IFERROR(INDEX(_xlfn.UNIQUE(TRIM(_xlfn.TEXTSPLIT(Table2678[[#This Row],[Selection Options]:[Selection Options]],","))),,T$11),"")</f>
        <v/>
      </c>
      <c r="U14" s="29" t="str" cm="1">
        <f t="array" ref="U14">IFERROR(INDEX(_xlfn.UNIQUE(TRIM(_xlfn.TEXTSPLIT(Table2678[[#This Row],[Selection Options]:[Selection Options]],","))),,U$11),"")</f>
        <v/>
      </c>
      <c r="V14" s="29" t="str" cm="1">
        <f t="array" ref="V14">IFERROR(INDEX(_xlfn.UNIQUE(TRIM(_xlfn.TEXTSPLIT(Table2678[[#This Row],[Selection Options]:[Selection Options]],","))),,V$11),"")</f>
        <v/>
      </c>
      <c r="W14" s="29" t="str" cm="1">
        <f t="array" ref="W14">IFERROR(INDEX(_xlfn.UNIQUE(TRIM(_xlfn.TEXTSPLIT(Table2678[[#This Row],[Selection Options]:[Selection Options]],","))),,W$11),"")</f>
        <v/>
      </c>
      <c r="X14" s="29" t="str" cm="1">
        <f t="array" ref="X14">IFERROR(INDEX(_xlfn.UNIQUE(TRIM(_xlfn.TEXTSPLIT(Table2678[[#This Row],[Selection Options]:[Selection Options]],","))),,X$11),"")</f>
        <v/>
      </c>
      <c r="Y14" s="30" cm="1">
        <f t="array" ref="Y14">IF(Table2678[[#This Row],[1]]="","",Table2678[[#This Row],[Weight]:[Weight]]-(Table2678[[#This Row],[Weight]:[Weight]]*((_xlfn.XMATCH(Table2678[[#This Row],[1]],Table2678[[#This Row],[1]:[11]],0))-1)/(COUNTA(Table2678[[#This Row],[1]:[11]])-COUNTBLANK(Table2678[[#This Row],[1]:[11]])-1)))</f>
        <v>0</v>
      </c>
      <c r="Z14" s="30" cm="1">
        <f t="array" ref="Z14">IF(Table2678[[#This Row],[2]]="","",Table2678[[#This Row],[Weight]:[Weight]]-(Table2678[[#This Row],[Weight]:[Weight]]*((_xlfn.XMATCH(Table2678[[#This Row],[2]],Table2678[[#This Row],[1]:[11]],0))-1)/(COUNTA(Table2678[[#This Row],[1]:[11]])-COUNTBLANK(Table2678[[#This Row],[1]:[11]])-1)))</f>
        <v>0</v>
      </c>
      <c r="AA14" s="30" cm="1">
        <f t="array" ref="AA14">IF(Table2678[[#This Row],[3]]="","",Table2678[[#This Row],[Weight]:[Weight]]-(Table2678[[#This Row],[Weight]:[Weight]]*((_xlfn.XMATCH(Table2678[[#This Row],[3]],Table2678[[#This Row],[1]:[11]],0))-1)/(COUNTA(Table2678[[#This Row],[1]:[11]])-COUNTBLANK(Table2678[[#This Row],[1]:[11]])-1)))</f>
        <v>0</v>
      </c>
      <c r="AB14" s="30" cm="1">
        <f t="array" ref="AB14">IF(Table2678[[#This Row],[4]]="","",Table2678[[#This Row],[Weight]:[Weight]]-(Table2678[[#This Row],[Weight]:[Weight]]*((_xlfn.XMATCH(Table2678[[#This Row],[4]],Table2678[[#This Row],[1]:[11]],0))-1)/(COUNTA(Table2678[[#This Row],[1]:[11]])-COUNTBLANK(Table2678[[#This Row],[1]:[11]])-1)))</f>
        <v>0</v>
      </c>
      <c r="AC14" s="30" t="str" cm="1">
        <f t="array" ref="AC14">IF(Table2678[[#This Row],[5]]="","",Table2678[[#This Row],[Weight]:[Weight]]-(Table2678[[#This Row],[Weight]:[Weight]]*((_xlfn.XMATCH(Table2678[[#This Row],[5]],Table2678[[#This Row],[1]:[11]],0))-1)/(COUNTA(Table2678[[#This Row],[1]:[11]])-COUNTBLANK(Table2678[[#This Row],[1]:[11]])-1)))</f>
        <v/>
      </c>
      <c r="AD14" s="30" t="str" cm="1">
        <f t="array" ref="AD14">IF(Table2678[[#This Row],[6]]="","",Table2678[[#This Row],[Weight]:[Weight]]-(Table2678[[#This Row],[Weight]:[Weight]]*((_xlfn.XMATCH(Table2678[[#This Row],[6]],Table2678[[#This Row],[1]:[11]],0))-1)/(COUNTA(Table2678[[#This Row],[1]:[11]])-COUNTBLANK(Table2678[[#This Row],[1]:[11]])-1)))</f>
        <v/>
      </c>
      <c r="AE14" s="30" t="str" cm="1">
        <f t="array" ref="AE14">IF(Table2678[[#This Row],[7]]="","",Table2678[[#This Row],[Weight]:[Weight]]-(Table2678[[#This Row],[Weight]:[Weight]]*((_xlfn.XMATCH(Table2678[[#This Row],[7]],Table2678[[#This Row],[1]:[11]],0))-1)/(COUNTA(Table2678[[#This Row],[1]:[11]])-COUNTBLANK(Table2678[[#This Row],[1]:[11]])-1)))</f>
        <v/>
      </c>
      <c r="AF14" s="30" t="str" cm="1">
        <f t="array" ref="AF14">IF(Table2678[[#This Row],[8]]="","",Table2678[[#This Row],[Weight]:[Weight]]-(Table2678[[#This Row],[Weight]:[Weight]]*((_xlfn.XMATCH(Table2678[[#This Row],[8]],Table2678[[#This Row],[1]:[11]],0))-1)/(COUNTA(Table2678[[#This Row],[1]:[11]])-COUNTBLANK(Table2678[[#This Row],[1]:[11]])-1)))</f>
        <v/>
      </c>
      <c r="AG14" s="30" t="str" cm="1">
        <f t="array" ref="AG14">IF(Table2678[[#This Row],[9]]="","",Table2678[[#This Row],[Weight]:[Weight]]-(Table2678[[#This Row],[Weight]:[Weight]]*((_xlfn.XMATCH(Table2678[[#This Row],[9]],Table2678[[#This Row],[1]:[11]],0))-1)/(COUNTA(Table2678[[#This Row],[1]:[11]])-COUNTBLANK(Table2678[[#This Row],[1]:[11]])-1)))</f>
        <v/>
      </c>
      <c r="AH14" s="30" t="str" cm="1">
        <f t="array" ref="AH14">IF(Table2678[[#This Row],[10]]="","",Table2678[[#This Row],[Weight]:[Weight]]-(Table2678[[#This Row],[Weight]:[Weight]]*((_xlfn.XMATCH(Table2678[[#This Row],[10]],Table2678[[#This Row],[1]:[11]],0))-1)/(COUNTA(Table2678[[#This Row],[1]:[11]])-COUNTBLANK(Table2678[[#This Row],[1]:[11]])-1)))</f>
        <v/>
      </c>
      <c r="AI14" s="30" t="str" cm="1">
        <f t="array" ref="AI14">IF(Table2678[[#This Row],[11]]="","",Table2678[[#This Row],[Weight]:[Weight]]-(Table2678[[#This Row],[Weight]:[Weight]]*((_xlfn.XMATCH(Table2678[[#This Row],[11]],Table2678[[#This Row],[1]:[11]],0))-1)/(COUNTA(Table2678[[#This Row],[1]:[11]])-COUNTBLANK(Table2678[[#This Row],[1]:[11]])-1)))</f>
        <v/>
      </c>
    </row>
    <row r="15" spans="1:35" ht="36" x14ac:dyDescent="0.2">
      <c r="A15" s="32">
        <v>3</v>
      </c>
      <c r="B15" s="33"/>
      <c r="C15" s="33" t="s">
        <v>539</v>
      </c>
      <c r="D15" s="33"/>
      <c r="E15" s="33"/>
      <c r="F15" s="34" t="s">
        <v>106</v>
      </c>
      <c r="G15" s="35" cm="1">
        <f t="array" ref="G15">_xlfn.IFS(F15="","",F15="No interest",0,F15="Nice to have",1,F15="Useful",2,F15="Important",3,F15="Very important",4,F15="Critical",5,F15="Show stopper",6)</f>
        <v>5</v>
      </c>
      <c r="H15" s="36">
        <f t="shared" si="0"/>
        <v>0</v>
      </c>
      <c r="I15" s="37" t="s">
        <v>540</v>
      </c>
      <c r="J15" s="37" t="str" cm="1">
        <f t="array" ref="J15">_xlfn.TEXTJOIN(" "&amp;CHAR(10),,TEXT(SUBSTITUTE(Table2678[[#This Row],[12]:[22]],".",","),"0,00%"))</f>
        <v>0,00% 
0,00% 
0,00%</v>
      </c>
      <c r="K15" s="38" t="s">
        <v>541</v>
      </c>
      <c r="L15" s="39">
        <f>H15-(H15*((MATCH(Table2678[[#This Row],[Evaluators Response (SELECT)]],Table2678[[#This Row],[1]:[11]],0)-1)/(COUNTA(Table2678[[#This Row],[1]:[11]])-COUNTBLANK(Table2678[[#This Row],[1]:[11]])-1)))</f>
        <v>0</v>
      </c>
      <c r="M15" s="40"/>
      <c r="N15" s="29" t="str" cm="1">
        <f t="array" ref="N15">IFERROR(INDEX(_xlfn.UNIQUE(TRIM(_xlfn.TEXTSPLIT(Table2678[[#This Row],[Selection Options]:[Selection Options]],","))),,N$11),"")</f>
        <v>10 or more clients</v>
      </c>
      <c r="O15" s="29" t="str" cm="1">
        <f t="array" ref="O15">IFERROR(INDEX(_xlfn.UNIQUE(TRIM(_xlfn.TEXTSPLIT(Table2678[[#This Row],[Selection Options]:[Selection Options]],","))),,O$11),"")</f>
        <v xml:space="preserve">
4-7 clients</v>
      </c>
      <c r="P15" s="29" t="str" cm="1">
        <f t="array" ref="P15">IFERROR(INDEX(_xlfn.UNIQUE(TRIM(_xlfn.TEXTSPLIT(Table2678[[#This Row],[Selection Options]:[Selection Options]],","))),,P$11),"")</f>
        <v xml:space="preserve">
3 or less clients.</v>
      </c>
      <c r="Q15" s="29" t="str" cm="1">
        <f t="array" ref="Q15">IFERROR(INDEX(_xlfn.UNIQUE(TRIM(_xlfn.TEXTSPLIT(Table2678[[#This Row],[Selection Options]:[Selection Options]],","))),,Q$11),"")</f>
        <v/>
      </c>
      <c r="R15" s="29" t="str" cm="1">
        <f t="array" ref="R15">IFERROR(INDEX(_xlfn.UNIQUE(TRIM(_xlfn.TEXTSPLIT(Table2678[[#This Row],[Selection Options]:[Selection Options]],","))),,R$11),"")</f>
        <v/>
      </c>
      <c r="S15" s="29" t="str" cm="1">
        <f t="array" ref="S15">IFERROR(INDEX(_xlfn.UNIQUE(TRIM(_xlfn.TEXTSPLIT(Table2678[[#This Row],[Selection Options]:[Selection Options]],","))),,S$11),"")</f>
        <v/>
      </c>
      <c r="T15" s="29" t="str" cm="1">
        <f t="array" ref="T15">IFERROR(INDEX(_xlfn.UNIQUE(TRIM(_xlfn.TEXTSPLIT(Table2678[[#This Row],[Selection Options]:[Selection Options]],","))),,T$11),"")</f>
        <v/>
      </c>
      <c r="U15" s="29" t="str" cm="1">
        <f t="array" ref="U15">IFERROR(INDEX(_xlfn.UNIQUE(TRIM(_xlfn.TEXTSPLIT(Table2678[[#This Row],[Selection Options]:[Selection Options]],","))),,U$11),"")</f>
        <v/>
      </c>
      <c r="V15" s="29" t="str" cm="1">
        <f t="array" ref="V15">IFERROR(INDEX(_xlfn.UNIQUE(TRIM(_xlfn.TEXTSPLIT(Table2678[[#This Row],[Selection Options]:[Selection Options]],","))),,V$11),"")</f>
        <v/>
      </c>
      <c r="W15" s="29" t="str" cm="1">
        <f t="array" ref="W15">IFERROR(INDEX(_xlfn.UNIQUE(TRIM(_xlfn.TEXTSPLIT(Table2678[[#This Row],[Selection Options]:[Selection Options]],","))),,W$11),"")</f>
        <v/>
      </c>
      <c r="X15" s="29" t="str" cm="1">
        <f t="array" ref="X15">IFERROR(INDEX(_xlfn.UNIQUE(TRIM(_xlfn.TEXTSPLIT(Table2678[[#This Row],[Selection Options]:[Selection Options]],","))),,X$11),"")</f>
        <v/>
      </c>
      <c r="Y15" s="30" cm="1">
        <f t="array" ref="Y15">IF(Table2678[[#This Row],[1]]="","",Table2678[[#This Row],[Weight]:[Weight]]-(Table2678[[#This Row],[Weight]:[Weight]]*((_xlfn.XMATCH(Table2678[[#This Row],[1]],Table2678[[#This Row],[1]:[11]],0))-1)/(COUNTA(Table2678[[#This Row],[1]:[11]])-COUNTBLANK(Table2678[[#This Row],[1]:[11]])-1)))</f>
        <v>0</v>
      </c>
      <c r="Z15" s="30" cm="1">
        <f t="array" ref="Z15">IF(Table2678[[#This Row],[2]]="","",Table2678[[#This Row],[Weight]:[Weight]]-(Table2678[[#This Row],[Weight]:[Weight]]*((_xlfn.XMATCH(Table2678[[#This Row],[2]],Table2678[[#This Row],[1]:[11]],0))-1)/(COUNTA(Table2678[[#This Row],[1]:[11]])-COUNTBLANK(Table2678[[#This Row],[1]:[11]])-1)))</f>
        <v>0</v>
      </c>
      <c r="AA15" s="30" cm="1">
        <f t="array" ref="AA15">IF(Table2678[[#This Row],[3]]="","",Table2678[[#This Row],[Weight]:[Weight]]-(Table2678[[#This Row],[Weight]:[Weight]]*((_xlfn.XMATCH(Table2678[[#This Row],[3]],Table2678[[#This Row],[1]:[11]],0))-1)/(COUNTA(Table2678[[#This Row],[1]:[11]])-COUNTBLANK(Table2678[[#This Row],[1]:[11]])-1)))</f>
        <v>0</v>
      </c>
      <c r="AB15" s="30" t="str" cm="1">
        <f t="array" ref="AB15">IF(Table2678[[#This Row],[4]]="","",Table2678[[#This Row],[Weight]:[Weight]]-(Table2678[[#This Row],[Weight]:[Weight]]*((_xlfn.XMATCH(Table2678[[#This Row],[4]],Table2678[[#This Row],[1]:[11]],0))-1)/(COUNTA(Table2678[[#This Row],[1]:[11]])-COUNTBLANK(Table2678[[#This Row],[1]:[11]])-1)))</f>
        <v/>
      </c>
      <c r="AC15" s="30" t="str" cm="1">
        <f t="array" ref="AC15">IF(Table2678[[#This Row],[5]]="","",Table2678[[#This Row],[Weight]:[Weight]]-(Table2678[[#This Row],[Weight]:[Weight]]*((_xlfn.XMATCH(Table2678[[#This Row],[5]],Table2678[[#This Row],[1]:[11]],0))-1)/(COUNTA(Table2678[[#This Row],[1]:[11]])-COUNTBLANK(Table2678[[#This Row],[1]:[11]])-1)))</f>
        <v/>
      </c>
      <c r="AD15" s="30" t="str" cm="1">
        <f t="array" ref="AD15">IF(Table2678[[#This Row],[6]]="","",Table2678[[#This Row],[Weight]:[Weight]]-(Table2678[[#This Row],[Weight]:[Weight]]*((_xlfn.XMATCH(Table2678[[#This Row],[6]],Table2678[[#This Row],[1]:[11]],0))-1)/(COUNTA(Table2678[[#This Row],[1]:[11]])-COUNTBLANK(Table2678[[#This Row],[1]:[11]])-1)))</f>
        <v/>
      </c>
      <c r="AE15" s="30" t="str" cm="1">
        <f t="array" ref="AE15">IF(Table2678[[#This Row],[7]]="","",Table2678[[#This Row],[Weight]:[Weight]]-(Table2678[[#This Row],[Weight]:[Weight]]*((_xlfn.XMATCH(Table2678[[#This Row],[7]],Table2678[[#This Row],[1]:[11]],0))-1)/(COUNTA(Table2678[[#This Row],[1]:[11]])-COUNTBLANK(Table2678[[#This Row],[1]:[11]])-1)))</f>
        <v/>
      </c>
      <c r="AF15" s="30" t="str" cm="1">
        <f t="array" ref="AF15">IF(Table2678[[#This Row],[8]]="","",Table2678[[#This Row],[Weight]:[Weight]]-(Table2678[[#This Row],[Weight]:[Weight]]*((_xlfn.XMATCH(Table2678[[#This Row],[8]],Table2678[[#This Row],[1]:[11]],0))-1)/(COUNTA(Table2678[[#This Row],[1]:[11]])-COUNTBLANK(Table2678[[#This Row],[1]:[11]])-1)))</f>
        <v/>
      </c>
      <c r="AG15" s="30" t="str" cm="1">
        <f t="array" ref="AG15">IF(Table2678[[#This Row],[9]]="","",Table2678[[#This Row],[Weight]:[Weight]]-(Table2678[[#This Row],[Weight]:[Weight]]*((_xlfn.XMATCH(Table2678[[#This Row],[9]],Table2678[[#This Row],[1]:[11]],0))-1)/(COUNTA(Table2678[[#This Row],[1]:[11]])-COUNTBLANK(Table2678[[#This Row],[1]:[11]])-1)))</f>
        <v/>
      </c>
      <c r="AH15" s="30" t="str" cm="1">
        <f t="array" ref="AH15">IF(Table2678[[#This Row],[10]]="","",Table2678[[#This Row],[Weight]:[Weight]]-(Table2678[[#This Row],[Weight]:[Weight]]*((_xlfn.XMATCH(Table2678[[#This Row],[10]],Table2678[[#This Row],[1]:[11]],0))-1)/(COUNTA(Table2678[[#This Row],[1]:[11]])-COUNTBLANK(Table2678[[#This Row],[1]:[11]])-1)))</f>
        <v/>
      </c>
      <c r="AI15" s="30" t="str" cm="1">
        <f t="array" ref="AI15">IF(Table2678[[#This Row],[11]]="","",Table2678[[#This Row],[Weight]:[Weight]]-(Table2678[[#This Row],[Weight]:[Weight]]*((_xlfn.XMATCH(Table2678[[#This Row],[11]],Table2678[[#This Row],[1]:[11]],0))-1)/(COUNTA(Table2678[[#This Row],[1]:[11]])-COUNTBLANK(Table2678[[#This Row],[1]:[11]])-1)))</f>
        <v/>
      </c>
    </row>
    <row r="16" spans="1:35" ht="24" x14ac:dyDescent="0.2">
      <c r="A16" s="20"/>
      <c r="B16" s="31" t="s">
        <v>542</v>
      </c>
      <c r="C16" s="31" t="s">
        <v>539</v>
      </c>
      <c r="D16" s="31" t="s">
        <v>543</v>
      </c>
      <c r="E16" s="31" t="s">
        <v>544</v>
      </c>
      <c r="F16" s="22" t="s">
        <v>271</v>
      </c>
      <c r="G16" s="23" cm="1">
        <f t="array" ref="G16">_xlfn.IFS(F16="","",F16="No interest",0,F16="Nice to have",1,F16="Useful",2,F16="Important",3,F16="Very important",4,F16="Critical",5,F16="Show stopper",6)</f>
        <v>2</v>
      </c>
      <c r="H16" s="24">
        <f t="shared" si="0"/>
        <v>0</v>
      </c>
      <c r="I16" s="25" t="s">
        <v>545</v>
      </c>
      <c r="J16" s="25" t="str" cm="1">
        <f t="array" ref="J16">_xlfn.TEXTJOIN(" "&amp;CHAR(10),,TEXT(SUBSTITUTE(Table2678[[#This Row],[12]:[22]],".",","),"0,00%"))</f>
        <v>0,00% 
0,00%</v>
      </c>
      <c r="K16" s="26" t="s">
        <v>546</v>
      </c>
      <c r="L16" s="27">
        <f>H16-(H16*((MATCH(Table2678[[#This Row],[Evaluators Response (SELECT)]],Table2678[[#This Row],[1]:[11]],0)-1)/(COUNTA(Table2678[[#This Row],[1]:[11]])-COUNTBLANK(Table2678[[#This Row],[1]:[11]])-1)))</f>
        <v>0</v>
      </c>
      <c r="M16" s="28"/>
      <c r="N16" s="29" t="str" cm="1">
        <f t="array" ref="N16">IFERROR(INDEX(_xlfn.UNIQUE(TRIM(_xlfn.TEXTSPLIT(Table2678[[#This Row],[Selection Options]:[Selection Options]],","))),,N$11),"")</f>
        <v>Yes</v>
      </c>
      <c r="O16" s="29" t="str" cm="1">
        <f t="array" ref="O16">IFERROR(INDEX(_xlfn.UNIQUE(TRIM(_xlfn.TEXTSPLIT(Table2678[[#This Row],[Selection Options]:[Selection Options]],","))),,O$11),"")</f>
        <v xml:space="preserve">
No</v>
      </c>
      <c r="P16" s="29" t="str" cm="1">
        <f t="array" ref="P16">IFERROR(INDEX(_xlfn.UNIQUE(TRIM(_xlfn.TEXTSPLIT(Table2678[[#This Row],[Selection Options]:[Selection Options]],","))),,P$11),"")</f>
        <v/>
      </c>
      <c r="Q16" s="29" t="str" cm="1">
        <f t="array" ref="Q16">IFERROR(INDEX(_xlfn.UNIQUE(TRIM(_xlfn.TEXTSPLIT(Table2678[[#This Row],[Selection Options]:[Selection Options]],","))),,Q$11),"")</f>
        <v/>
      </c>
      <c r="R16" s="29" t="str" cm="1">
        <f t="array" ref="R16">IFERROR(INDEX(_xlfn.UNIQUE(TRIM(_xlfn.TEXTSPLIT(Table2678[[#This Row],[Selection Options]:[Selection Options]],","))),,R$11),"")</f>
        <v/>
      </c>
      <c r="S16" s="29" t="str" cm="1">
        <f t="array" ref="S16">IFERROR(INDEX(_xlfn.UNIQUE(TRIM(_xlfn.TEXTSPLIT(Table2678[[#This Row],[Selection Options]:[Selection Options]],","))),,S$11),"")</f>
        <v/>
      </c>
      <c r="T16" s="29" t="str" cm="1">
        <f t="array" ref="T16">IFERROR(INDEX(_xlfn.UNIQUE(TRIM(_xlfn.TEXTSPLIT(Table2678[[#This Row],[Selection Options]:[Selection Options]],","))),,T$11),"")</f>
        <v/>
      </c>
      <c r="U16" s="29" t="str" cm="1">
        <f t="array" ref="U16">IFERROR(INDEX(_xlfn.UNIQUE(TRIM(_xlfn.TEXTSPLIT(Table2678[[#This Row],[Selection Options]:[Selection Options]],","))),,U$11),"")</f>
        <v/>
      </c>
      <c r="V16" s="29" t="str" cm="1">
        <f t="array" ref="V16">IFERROR(INDEX(_xlfn.UNIQUE(TRIM(_xlfn.TEXTSPLIT(Table2678[[#This Row],[Selection Options]:[Selection Options]],","))),,V$11),"")</f>
        <v/>
      </c>
      <c r="W16" s="29" t="str" cm="1">
        <f t="array" ref="W16">IFERROR(INDEX(_xlfn.UNIQUE(TRIM(_xlfn.TEXTSPLIT(Table2678[[#This Row],[Selection Options]:[Selection Options]],","))),,W$11),"")</f>
        <v/>
      </c>
      <c r="X16" s="29" t="str" cm="1">
        <f t="array" ref="X16">IFERROR(INDEX(_xlfn.UNIQUE(TRIM(_xlfn.TEXTSPLIT(Table2678[[#This Row],[Selection Options]:[Selection Options]],","))),,X$11),"")</f>
        <v/>
      </c>
      <c r="Y16" s="30" cm="1">
        <f t="array" ref="Y16">IF(Table2678[[#This Row],[1]]="","",Table2678[[#This Row],[Weight]:[Weight]]-(Table2678[[#This Row],[Weight]:[Weight]]*((_xlfn.XMATCH(Table2678[[#This Row],[1]],Table2678[[#This Row],[1]:[11]],0))-1)/(COUNTA(Table2678[[#This Row],[1]:[11]])-COUNTBLANK(Table2678[[#This Row],[1]:[11]])-1)))</f>
        <v>0</v>
      </c>
      <c r="Z16" s="30" cm="1">
        <f t="array" ref="Z16">IF(Table2678[[#This Row],[2]]="","",Table2678[[#This Row],[Weight]:[Weight]]-(Table2678[[#This Row],[Weight]:[Weight]]*((_xlfn.XMATCH(Table2678[[#This Row],[2]],Table2678[[#This Row],[1]:[11]],0))-1)/(COUNTA(Table2678[[#This Row],[1]:[11]])-COUNTBLANK(Table2678[[#This Row],[1]:[11]])-1)))</f>
        <v>0</v>
      </c>
      <c r="AA16" s="30" t="str" cm="1">
        <f t="array" ref="AA16">IF(Table2678[[#This Row],[3]]="","",Table2678[[#This Row],[Weight]:[Weight]]-(Table2678[[#This Row],[Weight]:[Weight]]*((_xlfn.XMATCH(Table2678[[#This Row],[3]],Table2678[[#This Row],[1]:[11]],0))-1)/(COUNTA(Table2678[[#This Row],[1]:[11]])-COUNTBLANK(Table2678[[#This Row],[1]:[11]])-1)))</f>
        <v/>
      </c>
      <c r="AB16" s="30" t="str" cm="1">
        <f t="array" ref="AB16">IF(Table2678[[#This Row],[4]]="","",Table2678[[#This Row],[Weight]:[Weight]]-(Table2678[[#This Row],[Weight]:[Weight]]*((_xlfn.XMATCH(Table2678[[#This Row],[4]],Table2678[[#This Row],[1]:[11]],0))-1)/(COUNTA(Table2678[[#This Row],[1]:[11]])-COUNTBLANK(Table2678[[#This Row],[1]:[11]])-1)))</f>
        <v/>
      </c>
      <c r="AC16" s="30" t="str" cm="1">
        <f t="array" ref="AC16">IF(Table2678[[#This Row],[5]]="","",Table2678[[#This Row],[Weight]:[Weight]]-(Table2678[[#This Row],[Weight]:[Weight]]*((_xlfn.XMATCH(Table2678[[#This Row],[5]],Table2678[[#This Row],[1]:[11]],0))-1)/(COUNTA(Table2678[[#This Row],[1]:[11]])-COUNTBLANK(Table2678[[#This Row],[1]:[11]])-1)))</f>
        <v/>
      </c>
      <c r="AD16" s="30" t="str" cm="1">
        <f t="array" ref="AD16">IF(Table2678[[#This Row],[6]]="","",Table2678[[#This Row],[Weight]:[Weight]]-(Table2678[[#This Row],[Weight]:[Weight]]*((_xlfn.XMATCH(Table2678[[#This Row],[6]],Table2678[[#This Row],[1]:[11]],0))-1)/(COUNTA(Table2678[[#This Row],[1]:[11]])-COUNTBLANK(Table2678[[#This Row],[1]:[11]])-1)))</f>
        <v/>
      </c>
      <c r="AE16" s="30" t="str" cm="1">
        <f t="array" ref="AE16">IF(Table2678[[#This Row],[7]]="","",Table2678[[#This Row],[Weight]:[Weight]]-(Table2678[[#This Row],[Weight]:[Weight]]*((_xlfn.XMATCH(Table2678[[#This Row],[7]],Table2678[[#This Row],[1]:[11]],0))-1)/(COUNTA(Table2678[[#This Row],[1]:[11]])-COUNTBLANK(Table2678[[#This Row],[1]:[11]])-1)))</f>
        <v/>
      </c>
      <c r="AF16" s="30" t="str" cm="1">
        <f t="array" ref="AF16">IF(Table2678[[#This Row],[8]]="","",Table2678[[#This Row],[Weight]:[Weight]]-(Table2678[[#This Row],[Weight]:[Weight]]*((_xlfn.XMATCH(Table2678[[#This Row],[8]],Table2678[[#This Row],[1]:[11]],0))-1)/(COUNTA(Table2678[[#This Row],[1]:[11]])-COUNTBLANK(Table2678[[#This Row],[1]:[11]])-1)))</f>
        <v/>
      </c>
      <c r="AG16" s="30" t="str" cm="1">
        <f t="array" ref="AG16">IF(Table2678[[#This Row],[9]]="","",Table2678[[#This Row],[Weight]:[Weight]]-(Table2678[[#This Row],[Weight]:[Weight]]*((_xlfn.XMATCH(Table2678[[#This Row],[9]],Table2678[[#This Row],[1]:[11]],0))-1)/(COUNTA(Table2678[[#This Row],[1]:[11]])-COUNTBLANK(Table2678[[#This Row],[1]:[11]])-1)))</f>
        <v/>
      </c>
      <c r="AH16" s="30" t="str" cm="1">
        <f t="array" ref="AH16">IF(Table2678[[#This Row],[10]]="","",Table2678[[#This Row],[Weight]:[Weight]]-(Table2678[[#This Row],[Weight]:[Weight]]*((_xlfn.XMATCH(Table2678[[#This Row],[10]],Table2678[[#This Row],[1]:[11]],0))-1)/(COUNTA(Table2678[[#This Row],[1]:[11]])-COUNTBLANK(Table2678[[#This Row],[1]:[11]])-1)))</f>
        <v/>
      </c>
      <c r="AI16" s="30" t="str" cm="1">
        <f t="array" ref="AI16">IF(Table2678[[#This Row],[11]]="","",Table2678[[#This Row],[Weight]:[Weight]]-(Table2678[[#This Row],[Weight]:[Weight]]*((_xlfn.XMATCH(Table2678[[#This Row],[11]],Table2678[[#This Row],[1]:[11]],0))-1)/(COUNTA(Table2678[[#This Row],[1]:[11]])-COUNTBLANK(Table2678[[#This Row],[1]:[11]])-1)))</f>
        <v/>
      </c>
    </row>
    <row r="17" spans="1:35" ht="60" x14ac:dyDescent="0.2">
      <c r="A17" s="20"/>
      <c r="B17" s="31"/>
      <c r="C17" s="31"/>
      <c r="D17" s="31"/>
      <c r="E17" s="31"/>
      <c r="F17" s="22" t="s">
        <v>56</v>
      </c>
      <c r="G17" s="23" cm="1">
        <f t="array" ref="G17">_xlfn.IFS(F17="","",F17="No interest",0,F17="Nice to have",1,F17="Useful",2,F17="Important",3,F17="Very important",4,F17="Critical",5,F17="Show stopper",6)</f>
        <v>3</v>
      </c>
      <c r="H17" s="24">
        <f>(G17/$G$11)*$F$11</f>
        <v>0</v>
      </c>
      <c r="I17" s="25" t="s">
        <v>547</v>
      </c>
      <c r="J17" s="37" t="str" cm="1">
        <f t="array" ref="J17">_xlfn.TEXTJOIN(" "&amp;CHAR(10),,TEXT(SUBSTITUTE(Table2678[[#This Row],[12]:[22]],".",","),"0,00%"))</f>
        <v>0,00% 
0,00% 
0,00% 
0,00% 
0,00%</v>
      </c>
      <c r="K17" s="26" t="s">
        <v>34</v>
      </c>
      <c r="L17" s="27">
        <f>H17-(H17*((MATCH(Table2678[[#This Row],[Evaluators Response (SELECT)]],Table2678[[#This Row],[1]:[11]],0)-1)/(COUNTA(Table2678[[#This Row],[1]:[11]])-COUNTBLANK(Table2678[[#This Row],[1]:[11]])-1)))</f>
        <v>0</v>
      </c>
      <c r="M17" s="28"/>
      <c r="N17" s="29" t="str" cm="1">
        <f t="array" ref="N17">IFERROR(INDEX(_xlfn.UNIQUE(TRIM(_xlfn.TEXTSPLIT(Table2678[[#This Row],[Selection Options]:[Selection Options]],","))),,N$11),"")</f>
        <v>5</v>
      </c>
      <c r="O17" s="29" t="str" cm="1">
        <f t="array" ref="O17">IFERROR(INDEX(_xlfn.UNIQUE(TRIM(_xlfn.TEXTSPLIT(Table2678[[#This Row],[Selection Options]:[Selection Options]],","))),,O$11),"")</f>
        <v>4</v>
      </c>
      <c r="P17" s="29" t="str" cm="1">
        <f t="array" ref="P17">IFERROR(INDEX(_xlfn.UNIQUE(TRIM(_xlfn.TEXTSPLIT(Table2678[[#This Row],[Selection Options]:[Selection Options]],","))),,P$11),"")</f>
        <v>3</v>
      </c>
      <c r="Q17" s="29" t="str" cm="1">
        <f t="array" ref="Q17">IFERROR(INDEX(_xlfn.UNIQUE(TRIM(_xlfn.TEXTSPLIT(Table2678[[#This Row],[Selection Options]:[Selection Options]],","))),,Q$11),"")</f>
        <v>2</v>
      </c>
      <c r="R17" s="29" t="str" cm="1">
        <f t="array" ref="R17">IFERROR(INDEX(_xlfn.UNIQUE(TRIM(_xlfn.TEXTSPLIT(Table2678[[#This Row],[Selection Options]:[Selection Options]],","))),,R$11),"")</f>
        <v>1</v>
      </c>
      <c r="S17" s="29" t="str" cm="1">
        <f t="array" ref="S17">IFERROR(INDEX(_xlfn.UNIQUE(TRIM(_xlfn.TEXTSPLIT(Table2678[[#This Row],[Selection Options]:[Selection Options]],","))),,S$11),"")</f>
        <v/>
      </c>
      <c r="T17" s="29" t="str" cm="1">
        <f t="array" ref="T17">IFERROR(INDEX(_xlfn.UNIQUE(TRIM(_xlfn.TEXTSPLIT(Table2678[[#This Row],[Selection Options]:[Selection Options]],","))),,T$11),"")</f>
        <v/>
      </c>
      <c r="U17" s="29" t="str" cm="1">
        <f t="array" ref="U17">IFERROR(INDEX(_xlfn.UNIQUE(TRIM(_xlfn.TEXTSPLIT(Table2678[[#This Row],[Selection Options]:[Selection Options]],","))),,U$11),"")</f>
        <v/>
      </c>
      <c r="V17" s="29" t="str" cm="1">
        <f t="array" ref="V17">IFERROR(INDEX(_xlfn.UNIQUE(TRIM(_xlfn.TEXTSPLIT(Table2678[[#This Row],[Selection Options]:[Selection Options]],","))),,V$11),"")</f>
        <v/>
      </c>
      <c r="W17" s="29" t="str" cm="1">
        <f t="array" ref="W17">IFERROR(INDEX(_xlfn.UNIQUE(TRIM(_xlfn.TEXTSPLIT(Table2678[[#This Row],[Selection Options]:[Selection Options]],","))),,W$11),"")</f>
        <v/>
      </c>
      <c r="X17" s="29" t="str" cm="1">
        <f t="array" ref="X17">IFERROR(INDEX(_xlfn.UNIQUE(TRIM(_xlfn.TEXTSPLIT(Table2678[[#This Row],[Selection Options]:[Selection Options]],","))),,X$11),"")</f>
        <v/>
      </c>
      <c r="Y17" s="30" cm="1">
        <f t="array" ref="Y17">IF(Table2678[[#This Row],[1]]="","",Table2678[[#This Row],[Weight]:[Weight]]-(Table2678[[#This Row],[Weight]:[Weight]]*((_xlfn.XMATCH(Table2678[[#This Row],[1]],Table2678[[#This Row],[1]:[11]],0))-1)/(COUNTA(Table2678[[#This Row],[1]:[11]])-COUNTBLANK(Table2678[[#This Row],[1]:[11]])-1)))</f>
        <v>0</v>
      </c>
      <c r="Z17" s="30" cm="1">
        <f t="array" ref="Z17">IF(Table2678[[#This Row],[2]]="","",Table2678[[#This Row],[Weight]:[Weight]]-(Table2678[[#This Row],[Weight]:[Weight]]*((_xlfn.XMATCH(Table2678[[#This Row],[2]],Table2678[[#This Row],[1]:[11]],0))-1)/(COUNTA(Table2678[[#This Row],[1]:[11]])-COUNTBLANK(Table2678[[#This Row],[1]:[11]])-1)))</f>
        <v>0</v>
      </c>
      <c r="AA17" s="30" cm="1">
        <f t="array" ref="AA17">IF(Table2678[[#This Row],[3]]="","",Table2678[[#This Row],[Weight]:[Weight]]-(Table2678[[#This Row],[Weight]:[Weight]]*((_xlfn.XMATCH(Table2678[[#This Row],[3]],Table2678[[#This Row],[1]:[11]],0))-1)/(COUNTA(Table2678[[#This Row],[1]:[11]])-COUNTBLANK(Table2678[[#This Row],[1]:[11]])-1)))</f>
        <v>0</v>
      </c>
      <c r="AB17" s="30" cm="1">
        <f t="array" ref="AB17">IF(Table2678[[#This Row],[4]]="","",Table2678[[#This Row],[Weight]:[Weight]]-(Table2678[[#This Row],[Weight]:[Weight]]*((_xlfn.XMATCH(Table2678[[#This Row],[4]],Table2678[[#This Row],[1]:[11]],0))-1)/(COUNTA(Table2678[[#This Row],[1]:[11]])-COUNTBLANK(Table2678[[#This Row],[1]:[11]])-1)))</f>
        <v>0</v>
      </c>
      <c r="AC17" s="30" cm="1">
        <f t="array" ref="AC17">IF(Table2678[[#This Row],[5]]="","",Table2678[[#This Row],[Weight]:[Weight]]-(Table2678[[#This Row],[Weight]:[Weight]]*((_xlfn.XMATCH(Table2678[[#This Row],[5]],Table2678[[#This Row],[1]:[11]],0))-1)/(COUNTA(Table2678[[#This Row],[1]:[11]])-COUNTBLANK(Table2678[[#This Row],[1]:[11]])-1)))</f>
        <v>0</v>
      </c>
      <c r="AD17" s="30" t="str" cm="1">
        <f t="array" ref="AD17">IF(Table2678[[#This Row],[6]]="","",Table2678[[#This Row],[Weight]:[Weight]]-(Table2678[[#This Row],[Weight]:[Weight]]*((_xlfn.XMATCH(Table2678[[#This Row],[6]],Table2678[[#This Row],[1]:[11]],0))-1)/(COUNTA(Table2678[[#This Row],[1]:[11]])-COUNTBLANK(Table2678[[#This Row],[1]:[11]])-1)))</f>
        <v/>
      </c>
      <c r="AE17" s="30" t="str" cm="1">
        <f t="array" ref="AE17">IF(Table2678[[#This Row],[7]]="","",Table2678[[#This Row],[Weight]:[Weight]]-(Table2678[[#This Row],[Weight]:[Weight]]*((_xlfn.XMATCH(Table2678[[#This Row],[7]],Table2678[[#This Row],[1]:[11]],0))-1)/(COUNTA(Table2678[[#This Row],[1]:[11]])-COUNTBLANK(Table2678[[#This Row],[1]:[11]])-1)))</f>
        <v/>
      </c>
      <c r="AF17" s="30" t="str" cm="1">
        <f t="array" ref="AF17">IF(Table2678[[#This Row],[8]]="","",Table2678[[#This Row],[Weight]:[Weight]]-(Table2678[[#This Row],[Weight]:[Weight]]*((_xlfn.XMATCH(Table2678[[#This Row],[8]],Table2678[[#This Row],[1]:[11]],0))-1)/(COUNTA(Table2678[[#This Row],[1]:[11]])-COUNTBLANK(Table2678[[#This Row],[1]:[11]])-1)))</f>
        <v/>
      </c>
      <c r="AG17" s="30" t="str" cm="1">
        <f t="array" ref="AG17">IF(Table2678[[#This Row],[9]]="","",Table2678[[#This Row],[Weight]:[Weight]]-(Table2678[[#This Row],[Weight]:[Weight]]*((_xlfn.XMATCH(Table2678[[#This Row],[9]],Table2678[[#This Row],[1]:[11]],0))-1)/(COUNTA(Table2678[[#This Row],[1]:[11]])-COUNTBLANK(Table2678[[#This Row],[1]:[11]])-1)))</f>
        <v/>
      </c>
      <c r="AH17" s="30" t="str" cm="1">
        <f t="array" ref="AH17">IF(Table2678[[#This Row],[10]]="","",Table2678[[#This Row],[Weight]:[Weight]]-(Table2678[[#This Row],[Weight]:[Weight]]*((_xlfn.XMATCH(Table2678[[#This Row],[10]],Table2678[[#This Row],[1]:[11]],0))-1)/(COUNTA(Table2678[[#This Row],[1]:[11]])-COUNTBLANK(Table2678[[#This Row],[1]:[11]])-1)))</f>
        <v/>
      </c>
      <c r="AI17" s="30" t="str" cm="1">
        <f t="array" ref="AI17">IF(Table2678[[#This Row],[11]]="","",Table2678[[#This Row],[Weight]:[Weight]]-(Table2678[[#This Row],[Weight]:[Weight]]*((_xlfn.XMATCH(Table2678[[#This Row],[11]],Table2678[[#This Row],[1]:[11]],0))-1)/(COUNTA(Table2678[[#This Row],[1]:[11]])-COUNTBLANK(Table2678[[#This Row],[1]:[11]])-1)))</f>
        <v/>
      </c>
    </row>
    <row r="18" spans="1:35" ht="60" x14ac:dyDescent="0.2">
      <c r="A18" s="32">
        <v>4</v>
      </c>
      <c r="B18" s="33" t="s">
        <v>548</v>
      </c>
      <c r="C18" s="33" t="s">
        <v>539</v>
      </c>
      <c r="D18" s="33" t="s">
        <v>549</v>
      </c>
      <c r="E18" s="33" t="s">
        <v>550</v>
      </c>
      <c r="F18" s="34" t="s">
        <v>60</v>
      </c>
      <c r="G18" s="35" cm="1">
        <f t="array" ref="G18">_xlfn.IFS(F18="","",F18="No interest",0,F18="Nice to have",1,F18="Useful",2,F18="Important",3,F18="Very important",4,F18="Critical",5,F18="Show stopper",6)</f>
        <v>6</v>
      </c>
      <c r="H18" s="36">
        <f t="shared" ref="H18:H31" si="1">(G18/$G$11)*$F$11</f>
        <v>0</v>
      </c>
      <c r="I18" s="37" t="s">
        <v>551</v>
      </c>
      <c r="J18" s="37" t="str" cm="1">
        <f t="array" ref="J18">_xlfn.TEXTJOIN(" "&amp;CHAR(10),,TEXT(SUBSTITUTE(Table2678[[#This Row],[12]:[22]],".",","),"0,00%"))</f>
        <v>0,00% 
0,00% 
0,00% 
0,00% 
0,00%</v>
      </c>
      <c r="K18" s="38" t="s">
        <v>552</v>
      </c>
      <c r="L18" s="39">
        <f>H18-(H18*((MATCH(Table2678[[#This Row],[Evaluators Response (SELECT)]],Table2678[[#This Row],[1]:[11]],0)-1)/(COUNTA(Table2678[[#This Row],[1]:[11]])-COUNTBLANK(Table2678[[#This Row],[1]:[11]])-1)))</f>
        <v>0</v>
      </c>
      <c r="M18" s="40"/>
      <c r="N18" s="29" t="str" cm="1">
        <f t="array" ref="N18">IFERROR(INDEX(_xlfn.UNIQUE(TRIM(_xlfn.TEXTSPLIT(Table2678[[#This Row],[Selection Options]:[Selection Options]],","))),,N$11),"")</f>
        <v>op1</v>
      </c>
      <c r="O18" s="29" t="str" cm="1">
        <f t="array" ref="O18">IFERROR(INDEX(_xlfn.UNIQUE(TRIM(_xlfn.TEXTSPLIT(Table2678[[#This Row],[Selection Options]:[Selection Options]],","))),,O$11),"")</f>
        <v xml:space="preserve">
op2</v>
      </c>
      <c r="P18" s="29" t="str" cm="1">
        <f t="array" ref="P18">IFERROR(INDEX(_xlfn.UNIQUE(TRIM(_xlfn.TEXTSPLIT(Table2678[[#This Row],[Selection Options]:[Selection Options]],","))),,P$11),"")</f>
        <v xml:space="preserve">
op3</v>
      </c>
      <c r="Q18" s="29" t="str" cm="1">
        <f t="array" ref="Q18">IFERROR(INDEX(_xlfn.UNIQUE(TRIM(_xlfn.TEXTSPLIT(Table2678[[#This Row],[Selection Options]:[Selection Options]],","))),,Q$11),"")</f>
        <v xml:space="preserve">
op4</v>
      </c>
      <c r="R18" s="29" t="str" cm="1">
        <f t="array" ref="R18">IFERROR(INDEX(_xlfn.UNIQUE(TRIM(_xlfn.TEXTSPLIT(Table2678[[#This Row],[Selection Options]:[Selection Options]],","))),,R$11),"")</f>
        <v xml:space="preserve">
op5</v>
      </c>
      <c r="S18" s="29" t="str" cm="1">
        <f t="array" ref="S18">IFERROR(INDEX(_xlfn.UNIQUE(TRIM(_xlfn.TEXTSPLIT(Table2678[[#This Row],[Selection Options]:[Selection Options]],","))),,S$11),"")</f>
        <v/>
      </c>
      <c r="T18" s="29" t="str" cm="1">
        <f t="array" ref="T18">IFERROR(INDEX(_xlfn.UNIQUE(TRIM(_xlfn.TEXTSPLIT(Table2678[[#This Row],[Selection Options]:[Selection Options]],","))),,T$11),"")</f>
        <v/>
      </c>
      <c r="U18" s="29" t="str" cm="1">
        <f t="array" ref="U18">IFERROR(INDEX(_xlfn.UNIQUE(TRIM(_xlfn.TEXTSPLIT(Table2678[[#This Row],[Selection Options]:[Selection Options]],","))),,U$11),"")</f>
        <v/>
      </c>
      <c r="V18" s="29" t="str" cm="1">
        <f t="array" ref="V18">IFERROR(INDEX(_xlfn.UNIQUE(TRIM(_xlfn.TEXTSPLIT(Table2678[[#This Row],[Selection Options]:[Selection Options]],","))),,V$11),"")</f>
        <v/>
      </c>
      <c r="W18" s="29" t="str" cm="1">
        <f t="array" ref="W18">IFERROR(INDEX(_xlfn.UNIQUE(TRIM(_xlfn.TEXTSPLIT(Table2678[[#This Row],[Selection Options]:[Selection Options]],","))),,W$11),"")</f>
        <v/>
      </c>
      <c r="X18" s="29" t="str" cm="1">
        <f t="array" ref="X18">IFERROR(INDEX(_xlfn.UNIQUE(TRIM(_xlfn.TEXTSPLIT(Table2678[[#This Row],[Selection Options]:[Selection Options]],","))),,X$11),"")</f>
        <v/>
      </c>
      <c r="Y18" s="30" cm="1">
        <f t="array" ref="Y18">IF(Table2678[[#This Row],[1]]="","",Table2678[[#This Row],[Weight]:[Weight]]-(Table2678[[#This Row],[Weight]:[Weight]]*((_xlfn.XMATCH(Table2678[[#This Row],[1]],Table2678[[#This Row],[1]:[11]],0))-1)/(COUNTA(Table2678[[#This Row],[1]:[11]])-COUNTBLANK(Table2678[[#This Row],[1]:[11]])-1)))</f>
        <v>0</v>
      </c>
      <c r="Z18" s="30" cm="1">
        <f t="array" ref="Z18">IF(Table2678[[#This Row],[2]]="","",Table2678[[#This Row],[Weight]:[Weight]]-(Table2678[[#This Row],[Weight]:[Weight]]*((_xlfn.XMATCH(Table2678[[#This Row],[2]],Table2678[[#This Row],[1]:[11]],0))-1)/(COUNTA(Table2678[[#This Row],[1]:[11]])-COUNTBLANK(Table2678[[#This Row],[1]:[11]])-1)))</f>
        <v>0</v>
      </c>
      <c r="AA18" s="30" cm="1">
        <f t="array" ref="AA18">IF(Table2678[[#This Row],[3]]="","",Table2678[[#This Row],[Weight]:[Weight]]-(Table2678[[#This Row],[Weight]:[Weight]]*((_xlfn.XMATCH(Table2678[[#This Row],[3]],Table2678[[#This Row],[1]:[11]],0))-1)/(COUNTA(Table2678[[#This Row],[1]:[11]])-COUNTBLANK(Table2678[[#This Row],[1]:[11]])-1)))</f>
        <v>0</v>
      </c>
      <c r="AB18" s="30" cm="1">
        <f t="array" ref="AB18">IF(Table2678[[#This Row],[4]]="","",Table2678[[#This Row],[Weight]:[Weight]]-(Table2678[[#This Row],[Weight]:[Weight]]*((_xlfn.XMATCH(Table2678[[#This Row],[4]],Table2678[[#This Row],[1]:[11]],0))-1)/(COUNTA(Table2678[[#This Row],[1]:[11]])-COUNTBLANK(Table2678[[#This Row],[1]:[11]])-1)))</f>
        <v>0</v>
      </c>
      <c r="AC18" s="30" cm="1">
        <f t="array" ref="AC18">IF(Table2678[[#This Row],[5]]="","",Table2678[[#This Row],[Weight]:[Weight]]-(Table2678[[#This Row],[Weight]:[Weight]]*((_xlfn.XMATCH(Table2678[[#This Row],[5]],Table2678[[#This Row],[1]:[11]],0))-1)/(COUNTA(Table2678[[#This Row],[1]:[11]])-COUNTBLANK(Table2678[[#This Row],[1]:[11]])-1)))</f>
        <v>0</v>
      </c>
      <c r="AD18" s="30" t="str" cm="1">
        <f t="array" ref="AD18">IF(Table2678[[#This Row],[6]]="","",Table2678[[#This Row],[Weight]:[Weight]]-(Table2678[[#This Row],[Weight]:[Weight]]*((_xlfn.XMATCH(Table2678[[#This Row],[6]],Table2678[[#This Row],[1]:[11]],0))-1)/(COUNTA(Table2678[[#This Row],[1]:[11]])-COUNTBLANK(Table2678[[#This Row],[1]:[11]])-1)))</f>
        <v/>
      </c>
      <c r="AE18" s="30" t="str" cm="1">
        <f t="array" ref="AE18">IF(Table2678[[#This Row],[7]]="","",Table2678[[#This Row],[Weight]:[Weight]]-(Table2678[[#This Row],[Weight]:[Weight]]*((_xlfn.XMATCH(Table2678[[#This Row],[7]],Table2678[[#This Row],[1]:[11]],0))-1)/(COUNTA(Table2678[[#This Row],[1]:[11]])-COUNTBLANK(Table2678[[#This Row],[1]:[11]])-1)))</f>
        <v/>
      </c>
      <c r="AF18" s="30" t="str" cm="1">
        <f t="array" ref="AF18">IF(Table2678[[#This Row],[8]]="","",Table2678[[#This Row],[Weight]:[Weight]]-(Table2678[[#This Row],[Weight]:[Weight]]*((_xlfn.XMATCH(Table2678[[#This Row],[8]],Table2678[[#This Row],[1]:[11]],0))-1)/(COUNTA(Table2678[[#This Row],[1]:[11]])-COUNTBLANK(Table2678[[#This Row],[1]:[11]])-1)))</f>
        <v/>
      </c>
      <c r="AG18" s="30" t="str" cm="1">
        <f t="array" ref="AG18">IF(Table2678[[#This Row],[9]]="","",Table2678[[#This Row],[Weight]:[Weight]]-(Table2678[[#This Row],[Weight]:[Weight]]*((_xlfn.XMATCH(Table2678[[#This Row],[9]],Table2678[[#This Row],[1]:[11]],0))-1)/(COUNTA(Table2678[[#This Row],[1]:[11]])-COUNTBLANK(Table2678[[#This Row],[1]:[11]])-1)))</f>
        <v/>
      </c>
      <c r="AH18" s="30" t="str" cm="1">
        <f t="array" ref="AH18">IF(Table2678[[#This Row],[10]]="","",Table2678[[#This Row],[Weight]:[Weight]]-(Table2678[[#This Row],[Weight]:[Weight]]*((_xlfn.XMATCH(Table2678[[#This Row],[10]],Table2678[[#This Row],[1]:[11]],0))-1)/(COUNTA(Table2678[[#This Row],[1]:[11]])-COUNTBLANK(Table2678[[#This Row],[1]:[11]])-1)))</f>
        <v/>
      </c>
      <c r="AI18" s="30" t="str" cm="1">
        <f t="array" ref="AI18">IF(Table2678[[#This Row],[11]]="","",Table2678[[#This Row],[Weight]:[Weight]]-(Table2678[[#This Row],[Weight]:[Weight]]*((_xlfn.XMATCH(Table2678[[#This Row],[11]],Table2678[[#This Row],[1]:[11]],0))-1)/(COUNTA(Table2678[[#This Row],[1]:[11]])-COUNTBLANK(Table2678[[#This Row],[1]:[11]])-1)))</f>
        <v/>
      </c>
    </row>
    <row r="19" spans="1:35" ht="48" x14ac:dyDescent="0.2">
      <c r="A19" s="32">
        <v>5</v>
      </c>
      <c r="B19" s="33" t="s">
        <v>553</v>
      </c>
      <c r="C19" s="33" t="s">
        <v>554</v>
      </c>
      <c r="D19" s="33" t="s">
        <v>543</v>
      </c>
      <c r="E19" s="33" t="s">
        <v>555</v>
      </c>
      <c r="F19" s="34" t="s">
        <v>248</v>
      </c>
      <c r="G19" s="35" cm="1">
        <f t="array" ref="G19">_xlfn.IFS(F19="","",F19="No interest",0,F19="Nice to have",1,F19="Useful",2,F19="Important",3,F19="Very important",4,F19="Critical",5,F19="Show stopper",6)</f>
        <v>4</v>
      </c>
      <c r="H19" s="36">
        <f t="shared" si="1"/>
        <v>0</v>
      </c>
      <c r="I19" s="37" t="s">
        <v>556</v>
      </c>
      <c r="J19" s="37" t="str" cm="1">
        <f t="array" ref="J19">_xlfn.TEXTJOIN(" "&amp;CHAR(10),,TEXT(SUBSTITUTE(Table2678[[#This Row],[12]:[22]],".",","),"0,00%"))</f>
        <v>0,00% 
0,00% 
0,00% 
0,00%</v>
      </c>
      <c r="K19" s="38" t="s">
        <v>557</v>
      </c>
      <c r="L19" s="39">
        <f>H19-(H19*((MATCH(Table2678[[#This Row],[Evaluators Response (SELECT)]],Table2678[[#This Row],[1]:[11]],0)-1)/(COUNTA(Table2678[[#This Row],[1]:[11]])-COUNTBLANK(Table2678[[#This Row],[1]:[11]])-1)))</f>
        <v>0</v>
      </c>
      <c r="M19" s="40"/>
      <c r="N19" s="29" t="str" cm="1">
        <f t="array" ref="N19">IFERROR(INDEX(_xlfn.UNIQUE(TRIM(_xlfn.TEXTSPLIT(Table2678[[#This Row],[Selection Options]:[Selection Options]],","))),,N$11),"")</f>
        <v>A</v>
      </c>
      <c r="O19" s="29" t="str" cm="1">
        <f t="array" ref="O19">IFERROR(INDEX(_xlfn.UNIQUE(TRIM(_xlfn.TEXTSPLIT(Table2678[[#This Row],[Selection Options]:[Selection Options]],","))),,O$11),"")</f>
        <v xml:space="preserve">
B</v>
      </c>
      <c r="P19" s="29" t="str" cm="1">
        <f t="array" ref="P19">IFERROR(INDEX(_xlfn.UNIQUE(TRIM(_xlfn.TEXTSPLIT(Table2678[[#This Row],[Selection Options]:[Selection Options]],","))),,P$11),"")</f>
        <v xml:space="preserve">
C</v>
      </c>
      <c r="Q19" s="29" t="str" cm="1">
        <f t="array" ref="Q19">IFERROR(INDEX(_xlfn.UNIQUE(TRIM(_xlfn.TEXTSPLIT(Table2678[[#This Row],[Selection Options]:[Selection Options]],","))),,Q$11),"")</f>
        <v xml:space="preserve">
D</v>
      </c>
      <c r="R19" s="29" t="str" cm="1">
        <f t="array" ref="R19">IFERROR(INDEX(_xlfn.UNIQUE(TRIM(_xlfn.TEXTSPLIT(Table2678[[#This Row],[Selection Options]:[Selection Options]],","))),,R$11),"")</f>
        <v/>
      </c>
      <c r="S19" s="29" t="str" cm="1">
        <f t="array" ref="S19">IFERROR(INDEX(_xlfn.UNIQUE(TRIM(_xlfn.TEXTSPLIT(Table2678[[#This Row],[Selection Options]:[Selection Options]],","))),,S$11),"")</f>
        <v/>
      </c>
      <c r="T19" s="29" t="str" cm="1">
        <f t="array" ref="T19">IFERROR(INDEX(_xlfn.UNIQUE(TRIM(_xlfn.TEXTSPLIT(Table2678[[#This Row],[Selection Options]:[Selection Options]],","))),,T$11),"")</f>
        <v/>
      </c>
      <c r="U19" s="29" t="str" cm="1">
        <f t="array" ref="U19">IFERROR(INDEX(_xlfn.UNIQUE(TRIM(_xlfn.TEXTSPLIT(Table2678[[#This Row],[Selection Options]:[Selection Options]],","))),,U$11),"")</f>
        <v/>
      </c>
      <c r="V19" s="29" t="str" cm="1">
        <f t="array" ref="V19">IFERROR(INDEX(_xlfn.UNIQUE(TRIM(_xlfn.TEXTSPLIT(Table2678[[#This Row],[Selection Options]:[Selection Options]],","))),,V$11),"")</f>
        <v/>
      </c>
      <c r="W19" s="29" t="str" cm="1">
        <f t="array" ref="W19">IFERROR(INDEX(_xlfn.UNIQUE(TRIM(_xlfn.TEXTSPLIT(Table2678[[#This Row],[Selection Options]:[Selection Options]],","))),,W$11),"")</f>
        <v/>
      </c>
      <c r="X19" s="29" t="str" cm="1">
        <f t="array" ref="X19">IFERROR(INDEX(_xlfn.UNIQUE(TRIM(_xlfn.TEXTSPLIT(Table2678[[#This Row],[Selection Options]:[Selection Options]],","))),,X$11),"")</f>
        <v/>
      </c>
      <c r="Y19" s="30" cm="1">
        <f t="array" ref="Y19">IF(Table2678[[#This Row],[1]]="","",Table2678[[#This Row],[Weight]:[Weight]]-(Table2678[[#This Row],[Weight]:[Weight]]*((_xlfn.XMATCH(Table2678[[#This Row],[1]],Table2678[[#This Row],[1]:[11]],0))-1)/(COUNTA(Table2678[[#This Row],[1]:[11]])-COUNTBLANK(Table2678[[#This Row],[1]:[11]])-1)))</f>
        <v>0</v>
      </c>
      <c r="Z19" s="30" cm="1">
        <f t="array" ref="Z19">IF(Table2678[[#This Row],[2]]="","",Table2678[[#This Row],[Weight]:[Weight]]-(Table2678[[#This Row],[Weight]:[Weight]]*((_xlfn.XMATCH(Table2678[[#This Row],[2]],Table2678[[#This Row],[1]:[11]],0))-1)/(COUNTA(Table2678[[#This Row],[1]:[11]])-COUNTBLANK(Table2678[[#This Row],[1]:[11]])-1)))</f>
        <v>0</v>
      </c>
      <c r="AA19" s="30" cm="1">
        <f t="array" ref="AA19">IF(Table2678[[#This Row],[3]]="","",Table2678[[#This Row],[Weight]:[Weight]]-(Table2678[[#This Row],[Weight]:[Weight]]*((_xlfn.XMATCH(Table2678[[#This Row],[3]],Table2678[[#This Row],[1]:[11]],0))-1)/(COUNTA(Table2678[[#This Row],[1]:[11]])-COUNTBLANK(Table2678[[#This Row],[1]:[11]])-1)))</f>
        <v>0</v>
      </c>
      <c r="AB19" s="30" cm="1">
        <f t="array" ref="AB19">IF(Table2678[[#This Row],[4]]="","",Table2678[[#This Row],[Weight]:[Weight]]-(Table2678[[#This Row],[Weight]:[Weight]]*((_xlfn.XMATCH(Table2678[[#This Row],[4]],Table2678[[#This Row],[1]:[11]],0))-1)/(COUNTA(Table2678[[#This Row],[1]:[11]])-COUNTBLANK(Table2678[[#This Row],[1]:[11]])-1)))</f>
        <v>0</v>
      </c>
      <c r="AC19" s="30" t="str" cm="1">
        <f t="array" ref="AC19">IF(Table2678[[#This Row],[5]]="","",Table2678[[#This Row],[Weight]:[Weight]]-(Table2678[[#This Row],[Weight]:[Weight]]*((_xlfn.XMATCH(Table2678[[#This Row],[5]],Table2678[[#This Row],[1]:[11]],0))-1)/(COUNTA(Table2678[[#This Row],[1]:[11]])-COUNTBLANK(Table2678[[#This Row],[1]:[11]])-1)))</f>
        <v/>
      </c>
      <c r="AD19" s="30" t="str" cm="1">
        <f t="array" ref="AD19">IF(Table2678[[#This Row],[6]]="","",Table2678[[#This Row],[Weight]:[Weight]]-(Table2678[[#This Row],[Weight]:[Weight]]*((_xlfn.XMATCH(Table2678[[#This Row],[6]],Table2678[[#This Row],[1]:[11]],0))-1)/(COUNTA(Table2678[[#This Row],[1]:[11]])-COUNTBLANK(Table2678[[#This Row],[1]:[11]])-1)))</f>
        <v/>
      </c>
      <c r="AE19" s="30" t="str" cm="1">
        <f t="array" ref="AE19">IF(Table2678[[#This Row],[7]]="","",Table2678[[#This Row],[Weight]:[Weight]]-(Table2678[[#This Row],[Weight]:[Weight]]*((_xlfn.XMATCH(Table2678[[#This Row],[7]],Table2678[[#This Row],[1]:[11]],0))-1)/(COUNTA(Table2678[[#This Row],[1]:[11]])-COUNTBLANK(Table2678[[#This Row],[1]:[11]])-1)))</f>
        <v/>
      </c>
      <c r="AF19" s="30" t="str" cm="1">
        <f t="array" ref="AF19">IF(Table2678[[#This Row],[8]]="","",Table2678[[#This Row],[Weight]:[Weight]]-(Table2678[[#This Row],[Weight]:[Weight]]*((_xlfn.XMATCH(Table2678[[#This Row],[8]],Table2678[[#This Row],[1]:[11]],0))-1)/(COUNTA(Table2678[[#This Row],[1]:[11]])-COUNTBLANK(Table2678[[#This Row],[1]:[11]])-1)))</f>
        <v/>
      </c>
      <c r="AG19" s="30" t="str" cm="1">
        <f t="array" ref="AG19">IF(Table2678[[#This Row],[9]]="","",Table2678[[#This Row],[Weight]:[Weight]]-(Table2678[[#This Row],[Weight]:[Weight]]*((_xlfn.XMATCH(Table2678[[#This Row],[9]],Table2678[[#This Row],[1]:[11]],0))-1)/(COUNTA(Table2678[[#This Row],[1]:[11]])-COUNTBLANK(Table2678[[#This Row],[1]:[11]])-1)))</f>
        <v/>
      </c>
      <c r="AH19" s="30" t="str" cm="1">
        <f t="array" ref="AH19">IF(Table2678[[#This Row],[10]]="","",Table2678[[#This Row],[Weight]:[Weight]]-(Table2678[[#This Row],[Weight]:[Weight]]*((_xlfn.XMATCH(Table2678[[#This Row],[10]],Table2678[[#This Row],[1]:[11]],0))-1)/(COUNTA(Table2678[[#This Row],[1]:[11]])-COUNTBLANK(Table2678[[#This Row],[1]:[11]])-1)))</f>
        <v/>
      </c>
      <c r="AI19" s="30" t="str" cm="1">
        <f t="array" ref="AI19">IF(Table2678[[#This Row],[11]]="","",Table2678[[#This Row],[Weight]:[Weight]]-(Table2678[[#This Row],[Weight]:[Weight]]*((_xlfn.XMATCH(Table2678[[#This Row],[11]],Table2678[[#This Row],[1]:[11]],0))-1)/(COUNTA(Table2678[[#This Row],[1]:[11]])-COUNTBLANK(Table2678[[#This Row],[1]:[11]])-1)))</f>
        <v/>
      </c>
    </row>
    <row r="20" spans="1:35" ht="24" x14ac:dyDescent="0.2">
      <c r="A20" s="32">
        <v>6</v>
      </c>
      <c r="B20" s="33" t="s">
        <v>558</v>
      </c>
      <c r="C20" s="33" t="s">
        <v>559</v>
      </c>
      <c r="D20" s="33" t="s">
        <v>543</v>
      </c>
      <c r="E20" s="33" t="s">
        <v>560</v>
      </c>
      <c r="F20" s="34" t="s">
        <v>106</v>
      </c>
      <c r="G20" s="35" cm="1">
        <f t="array" ref="G20">_xlfn.IFS(F20="","",F20="No interest",0,F20="Nice to have",1,F20="Useful",2,F20="Important",3,F20="Very important",4,F20="Critical",5,F20="Show stopper",6)</f>
        <v>5</v>
      </c>
      <c r="H20" s="36">
        <f t="shared" si="1"/>
        <v>0</v>
      </c>
      <c r="I20" s="37" t="s">
        <v>545</v>
      </c>
      <c r="J20" s="37" t="str" cm="1">
        <f t="array" ref="J20">_xlfn.TEXTJOIN(" "&amp;CHAR(10),,TEXT(SUBSTITUTE(Table2678[[#This Row],[12]:[22]],".",","),"0,00%"))</f>
        <v>0,00% 
0,00%</v>
      </c>
      <c r="K20" s="38" t="s">
        <v>561</v>
      </c>
      <c r="L20" s="39">
        <f>H20-(H20*((MATCH(Table2678[[#This Row],[Evaluators Response (SELECT)]],Table2678[[#This Row],[1]:[11]],0)-1)/(COUNTA(Table2678[[#This Row],[1]:[11]])-COUNTBLANK(Table2678[[#This Row],[1]:[11]])-1)))</f>
        <v>0</v>
      </c>
      <c r="M20" s="40"/>
      <c r="N20" s="29" t="str" cm="1">
        <f t="array" ref="N20">IFERROR(INDEX(_xlfn.UNIQUE(TRIM(_xlfn.TEXTSPLIT(Table2678[[#This Row],[Selection Options]:[Selection Options]],","))),,N$11),"")</f>
        <v>Yes</v>
      </c>
      <c r="O20" s="29" t="str" cm="1">
        <f t="array" ref="O20">IFERROR(INDEX(_xlfn.UNIQUE(TRIM(_xlfn.TEXTSPLIT(Table2678[[#This Row],[Selection Options]:[Selection Options]],","))),,O$11),"")</f>
        <v xml:space="preserve">
No</v>
      </c>
      <c r="P20" s="29" t="str" cm="1">
        <f t="array" ref="P20">IFERROR(INDEX(_xlfn.UNIQUE(TRIM(_xlfn.TEXTSPLIT(Table2678[[#This Row],[Selection Options]:[Selection Options]],","))),,P$11),"")</f>
        <v/>
      </c>
      <c r="Q20" s="29" t="str" cm="1">
        <f t="array" ref="Q20">IFERROR(INDEX(_xlfn.UNIQUE(TRIM(_xlfn.TEXTSPLIT(Table2678[[#This Row],[Selection Options]:[Selection Options]],","))),,Q$11),"")</f>
        <v/>
      </c>
      <c r="R20" s="29" t="str" cm="1">
        <f t="array" ref="R20">IFERROR(INDEX(_xlfn.UNIQUE(TRIM(_xlfn.TEXTSPLIT(Table2678[[#This Row],[Selection Options]:[Selection Options]],","))),,R$11),"")</f>
        <v/>
      </c>
      <c r="S20" s="29" t="str" cm="1">
        <f t="array" ref="S20">IFERROR(INDEX(_xlfn.UNIQUE(TRIM(_xlfn.TEXTSPLIT(Table2678[[#This Row],[Selection Options]:[Selection Options]],","))),,S$11),"")</f>
        <v/>
      </c>
      <c r="T20" s="29" t="str" cm="1">
        <f t="array" ref="T20">IFERROR(INDEX(_xlfn.UNIQUE(TRIM(_xlfn.TEXTSPLIT(Table2678[[#This Row],[Selection Options]:[Selection Options]],","))),,T$11),"")</f>
        <v/>
      </c>
      <c r="U20" s="29" t="str" cm="1">
        <f t="array" ref="U20">IFERROR(INDEX(_xlfn.UNIQUE(TRIM(_xlfn.TEXTSPLIT(Table2678[[#This Row],[Selection Options]:[Selection Options]],","))),,U$11),"")</f>
        <v/>
      </c>
      <c r="V20" s="29" t="str" cm="1">
        <f t="array" ref="V20">IFERROR(INDEX(_xlfn.UNIQUE(TRIM(_xlfn.TEXTSPLIT(Table2678[[#This Row],[Selection Options]:[Selection Options]],","))),,V$11),"")</f>
        <v/>
      </c>
      <c r="W20" s="29" t="str" cm="1">
        <f t="array" ref="W20">IFERROR(INDEX(_xlfn.UNIQUE(TRIM(_xlfn.TEXTSPLIT(Table2678[[#This Row],[Selection Options]:[Selection Options]],","))),,W$11),"")</f>
        <v/>
      </c>
      <c r="X20" s="29" t="str" cm="1">
        <f t="array" ref="X20">IFERROR(INDEX(_xlfn.UNIQUE(TRIM(_xlfn.TEXTSPLIT(Table2678[[#This Row],[Selection Options]:[Selection Options]],","))),,X$11),"")</f>
        <v/>
      </c>
      <c r="Y20" s="30" cm="1">
        <f t="array" ref="Y20">IF(Table2678[[#This Row],[1]]="","",Table2678[[#This Row],[Weight]:[Weight]]-(Table2678[[#This Row],[Weight]:[Weight]]*((_xlfn.XMATCH(Table2678[[#This Row],[1]],Table2678[[#This Row],[1]:[11]],0))-1)/(COUNTA(Table2678[[#This Row],[1]:[11]])-COUNTBLANK(Table2678[[#This Row],[1]:[11]])-1)))</f>
        <v>0</v>
      </c>
      <c r="Z20" s="30" cm="1">
        <f t="array" ref="Z20">IF(Table2678[[#This Row],[2]]="","",Table2678[[#This Row],[Weight]:[Weight]]-(Table2678[[#This Row],[Weight]:[Weight]]*((_xlfn.XMATCH(Table2678[[#This Row],[2]],Table2678[[#This Row],[1]:[11]],0))-1)/(COUNTA(Table2678[[#This Row],[1]:[11]])-COUNTBLANK(Table2678[[#This Row],[1]:[11]])-1)))</f>
        <v>0</v>
      </c>
      <c r="AA20" s="30" t="str" cm="1">
        <f t="array" ref="AA20">IF(Table2678[[#This Row],[3]]="","",Table2678[[#This Row],[Weight]:[Weight]]-(Table2678[[#This Row],[Weight]:[Weight]]*((_xlfn.XMATCH(Table2678[[#This Row],[3]],Table2678[[#This Row],[1]:[11]],0))-1)/(COUNTA(Table2678[[#This Row],[1]:[11]])-COUNTBLANK(Table2678[[#This Row],[1]:[11]])-1)))</f>
        <v/>
      </c>
      <c r="AB20" s="30" t="str" cm="1">
        <f t="array" ref="AB20">IF(Table2678[[#This Row],[4]]="","",Table2678[[#This Row],[Weight]:[Weight]]-(Table2678[[#This Row],[Weight]:[Weight]]*((_xlfn.XMATCH(Table2678[[#This Row],[4]],Table2678[[#This Row],[1]:[11]],0))-1)/(COUNTA(Table2678[[#This Row],[1]:[11]])-COUNTBLANK(Table2678[[#This Row],[1]:[11]])-1)))</f>
        <v/>
      </c>
      <c r="AC20" s="30" t="str" cm="1">
        <f t="array" ref="AC20">IF(Table2678[[#This Row],[5]]="","",Table2678[[#This Row],[Weight]:[Weight]]-(Table2678[[#This Row],[Weight]:[Weight]]*((_xlfn.XMATCH(Table2678[[#This Row],[5]],Table2678[[#This Row],[1]:[11]],0))-1)/(COUNTA(Table2678[[#This Row],[1]:[11]])-COUNTBLANK(Table2678[[#This Row],[1]:[11]])-1)))</f>
        <v/>
      </c>
      <c r="AD20" s="30" t="str" cm="1">
        <f t="array" ref="AD20">IF(Table2678[[#This Row],[6]]="","",Table2678[[#This Row],[Weight]:[Weight]]-(Table2678[[#This Row],[Weight]:[Weight]]*((_xlfn.XMATCH(Table2678[[#This Row],[6]],Table2678[[#This Row],[1]:[11]],0))-1)/(COUNTA(Table2678[[#This Row],[1]:[11]])-COUNTBLANK(Table2678[[#This Row],[1]:[11]])-1)))</f>
        <v/>
      </c>
      <c r="AE20" s="30" t="str" cm="1">
        <f t="array" ref="AE20">IF(Table2678[[#This Row],[7]]="","",Table2678[[#This Row],[Weight]:[Weight]]-(Table2678[[#This Row],[Weight]:[Weight]]*((_xlfn.XMATCH(Table2678[[#This Row],[7]],Table2678[[#This Row],[1]:[11]],0))-1)/(COUNTA(Table2678[[#This Row],[1]:[11]])-COUNTBLANK(Table2678[[#This Row],[1]:[11]])-1)))</f>
        <v/>
      </c>
      <c r="AF20" s="30" t="str" cm="1">
        <f t="array" ref="AF20">IF(Table2678[[#This Row],[8]]="","",Table2678[[#This Row],[Weight]:[Weight]]-(Table2678[[#This Row],[Weight]:[Weight]]*((_xlfn.XMATCH(Table2678[[#This Row],[8]],Table2678[[#This Row],[1]:[11]],0))-1)/(COUNTA(Table2678[[#This Row],[1]:[11]])-COUNTBLANK(Table2678[[#This Row],[1]:[11]])-1)))</f>
        <v/>
      </c>
      <c r="AG20" s="30" t="str" cm="1">
        <f t="array" ref="AG20">IF(Table2678[[#This Row],[9]]="","",Table2678[[#This Row],[Weight]:[Weight]]-(Table2678[[#This Row],[Weight]:[Weight]]*((_xlfn.XMATCH(Table2678[[#This Row],[9]],Table2678[[#This Row],[1]:[11]],0))-1)/(COUNTA(Table2678[[#This Row],[1]:[11]])-COUNTBLANK(Table2678[[#This Row],[1]:[11]])-1)))</f>
        <v/>
      </c>
      <c r="AH20" s="30" t="str" cm="1">
        <f t="array" ref="AH20">IF(Table2678[[#This Row],[10]]="","",Table2678[[#This Row],[Weight]:[Weight]]-(Table2678[[#This Row],[Weight]:[Weight]]*((_xlfn.XMATCH(Table2678[[#This Row],[10]],Table2678[[#This Row],[1]:[11]],0))-1)/(COUNTA(Table2678[[#This Row],[1]:[11]])-COUNTBLANK(Table2678[[#This Row],[1]:[11]])-1)))</f>
        <v/>
      </c>
      <c r="AI20" s="30" t="str" cm="1">
        <f t="array" ref="AI20">IF(Table2678[[#This Row],[11]]="","",Table2678[[#This Row],[Weight]:[Weight]]-(Table2678[[#This Row],[Weight]:[Weight]]*((_xlfn.XMATCH(Table2678[[#This Row],[11]],Table2678[[#This Row],[1]:[11]],0))-1)/(COUNTA(Table2678[[#This Row],[1]:[11]])-COUNTBLANK(Table2678[[#This Row],[1]:[11]])-1)))</f>
        <v/>
      </c>
    </row>
    <row r="21" spans="1:35" ht="24" x14ac:dyDescent="0.2">
      <c r="A21" s="32">
        <v>7</v>
      </c>
      <c r="B21" s="33" t="s">
        <v>562</v>
      </c>
      <c r="C21" s="33" t="s">
        <v>563</v>
      </c>
      <c r="D21" s="33" t="s">
        <v>543</v>
      </c>
      <c r="E21" s="33" t="s">
        <v>564</v>
      </c>
      <c r="F21" s="34" t="s">
        <v>248</v>
      </c>
      <c r="G21" s="35" cm="1">
        <f t="array" ref="G21">_xlfn.IFS(F21="","",F21="No interest",0,F21="Nice to have",1,F21="Useful",2,F21="Important",3,F21="Very important",4,F21="Critical",5,F21="Show stopper",6)</f>
        <v>4</v>
      </c>
      <c r="H21" s="36">
        <f t="shared" si="1"/>
        <v>0</v>
      </c>
      <c r="I21" s="37" t="s">
        <v>545</v>
      </c>
      <c r="J21" s="37" t="str" cm="1">
        <f t="array" ref="J21">_xlfn.TEXTJOIN(" "&amp;CHAR(10),,TEXT(SUBSTITUTE(Table2678[[#This Row],[12]:[22]],".",","),"0,00%"))</f>
        <v>0,00% 
0,00%</v>
      </c>
      <c r="K21" s="38" t="s">
        <v>546</v>
      </c>
      <c r="L21" s="39">
        <f>H21-(H21*((MATCH(Table2678[[#This Row],[Evaluators Response (SELECT)]],Table2678[[#This Row],[1]:[11]],0)-1)/(COUNTA(Table2678[[#This Row],[1]:[11]])-COUNTBLANK(Table2678[[#This Row],[1]:[11]])-1)))</f>
        <v>0</v>
      </c>
      <c r="M21" s="40"/>
      <c r="N21" s="29" t="str" cm="1">
        <f t="array" ref="N21">IFERROR(INDEX(_xlfn.UNIQUE(TRIM(_xlfn.TEXTSPLIT(Table2678[[#This Row],[Selection Options]:[Selection Options]],","))),,N$11),"")</f>
        <v>Yes</v>
      </c>
      <c r="O21" s="29" t="str" cm="1">
        <f t="array" ref="O21">IFERROR(INDEX(_xlfn.UNIQUE(TRIM(_xlfn.TEXTSPLIT(Table2678[[#This Row],[Selection Options]:[Selection Options]],","))),,O$11),"")</f>
        <v xml:space="preserve">
No</v>
      </c>
      <c r="P21" s="29" t="str" cm="1">
        <f t="array" ref="P21">IFERROR(INDEX(_xlfn.UNIQUE(TRIM(_xlfn.TEXTSPLIT(Table2678[[#This Row],[Selection Options]:[Selection Options]],","))),,P$11),"")</f>
        <v/>
      </c>
      <c r="Q21" s="29" t="str" cm="1">
        <f t="array" ref="Q21">IFERROR(INDEX(_xlfn.UNIQUE(TRIM(_xlfn.TEXTSPLIT(Table2678[[#This Row],[Selection Options]:[Selection Options]],","))),,Q$11),"")</f>
        <v/>
      </c>
      <c r="R21" s="29" t="str" cm="1">
        <f t="array" ref="R21">IFERROR(INDEX(_xlfn.UNIQUE(TRIM(_xlfn.TEXTSPLIT(Table2678[[#This Row],[Selection Options]:[Selection Options]],","))),,R$11),"")</f>
        <v/>
      </c>
      <c r="S21" s="29" t="str" cm="1">
        <f t="array" ref="S21">IFERROR(INDEX(_xlfn.UNIQUE(TRIM(_xlfn.TEXTSPLIT(Table2678[[#This Row],[Selection Options]:[Selection Options]],","))),,S$11),"")</f>
        <v/>
      </c>
      <c r="T21" s="29" t="str" cm="1">
        <f t="array" ref="T21">IFERROR(INDEX(_xlfn.UNIQUE(TRIM(_xlfn.TEXTSPLIT(Table2678[[#This Row],[Selection Options]:[Selection Options]],","))),,T$11),"")</f>
        <v/>
      </c>
      <c r="U21" s="29" t="str" cm="1">
        <f t="array" ref="U21">IFERROR(INDEX(_xlfn.UNIQUE(TRIM(_xlfn.TEXTSPLIT(Table2678[[#This Row],[Selection Options]:[Selection Options]],","))),,U$11),"")</f>
        <v/>
      </c>
      <c r="V21" s="29" t="str" cm="1">
        <f t="array" ref="V21">IFERROR(INDEX(_xlfn.UNIQUE(TRIM(_xlfn.TEXTSPLIT(Table2678[[#This Row],[Selection Options]:[Selection Options]],","))),,V$11),"")</f>
        <v/>
      </c>
      <c r="W21" s="29" t="str" cm="1">
        <f t="array" ref="W21">IFERROR(INDEX(_xlfn.UNIQUE(TRIM(_xlfn.TEXTSPLIT(Table2678[[#This Row],[Selection Options]:[Selection Options]],","))),,W$11),"")</f>
        <v/>
      </c>
      <c r="X21" s="29" t="str" cm="1">
        <f t="array" ref="X21">IFERROR(INDEX(_xlfn.UNIQUE(TRIM(_xlfn.TEXTSPLIT(Table2678[[#This Row],[Selection Options]:[Selection Options]],","))),,X$11),"")</f>
        <v/>
      </c>
      <c r="Y21" s="30" cm="1">
        <f t="array" ref="Y21">IF(Table2678[[#This Row],[1]]="","",Table2678[[#This Row],[Weight]:[Weight]]-(Table2678[[#This Row],[Weight]:[Weight]]*((_xlfn.XMATCH(Table2678[[#This Row],[1]],Table2678[[#This Row],[1]:[11]],0))-1)/(COUNTA(Table2678[[#This Row],[1]:[11]])-COUNTBLANK(Table2678[[#This Row],[1]:[11]])-1)))</f>
        <v>0</v>
      </c>
      <c r="Z21" s="30" cm="1">
        <f t="array" ref="Z21">IF(Table2678[[#This Row],[2]]="","",Table2678[[#This Row],[Weight]:[Weight]]-(Table2678[[#This Row],[Weight]:[Weight]]*((_xlfn.XMATCH(Table2678[[#This Row],[2]],Table2678[[#This Row],[1]:[11]],0))-1)/(COUNTA(Table2678[[#This Row],[1]:[11]])-COUNTBLANK(Table2678[[#This Row],[1]:[11]])-1)))</f>
        <v>0</v>
      </c>
      <c r="AA21" s="30" t="str" cm="1">
        <f t="array" ref="AA21">IF(Table2678[[#This Row],[3]]="","",Table2678[[#This Row],[Weight]:[Weight]]-(Table2678[[#This Row],[Weight]:[Weight]]*((_xlfn.XMATCH(Table2678[[#This Row],[3]],Table2678[[#This Row],[1]:[11]],0))-1)/(COUNTA(Table2678[[#This Row],[1]:[11]])-COUNTBLANK(Table2678[[#This Row],[1]:[11]])-1)))</f>
        <v/>
      </c>
      <c r="AB21" s="30" t="str" cm="1">
        <f t="array" ref="AB21">IF(Table2678[[#This Row],[4]]="","",Table2678[[#This Row],[Weight]:[Weight]]-(Table2678[[#This Row],[Weight]:[Weight]]*((_xlfn.XMATCH(Table2678[[#This Row],[4]],Table2678[[#This Row],[1]:[11]],0))-1)/(COUNTA(Table2678[[#This Row],[1]:[11]])-COUNTBLANK(Table2678[[#This Row],[1]:[11]])-1)))</f>
        <v/>
      </c>
      <c r="AC21" s="30" t="str" cm="1">
        <f t="array" ref="AC21">IF(Table2678[[#This Row],[5]]="","",Table2678[[#This Row],[Weight]:[Weight]]-(Table2678[[#This Row],[Weight]:[Weight]]*((_xlfn.XMATCH(Table2678[[#This Row],[5]],Table2678[[#This Row],[1]:[11]],0))-1)/(COUNTA(Table2678[[#This Row],[1]:[11]])-COUNTBLANK(Table2678[[#This Row],[1]:[11]])-1)))</f>
        <v/>
      </c>
      <c r="AD21" s="30" t="str" cm="1">
        <f t="array" ref="AD21">IF(Table2678[[#This Row],[6]]="","",Table2678[[#This Row],[Weight]:[Weight]]-(Table2678[[#This Row],[Weight]:[Weight]]*((_xlfn.XMATCH(Table2678[[#This Row],[6]],Table2678[[#This Row],[1]:[11]],0))-1)/(COUNTA(Table2678[[#This Row],[1]:[11]])-COUNTBLANK(Table2678[[#This Row],[1]:[11]])-1)))</f>
        <v/>
      </c>
      <c r="AE21" s="30" t="str" cm="1">
        <f t="array" ref="AE21">IF(Table2678[[#This Row],[7]]="","",Table2678[[#This Row],[Weight]:[Weight]]-(Table2678[[#This Row],[Weight]:[Weight]]*((_xlfn.XMATCH(Table2678[[#This Row],[7]],Table2678[[#This Row],[1]:[11]],0))-1)/(COUNTA(Table2678[[#This Row],[1]:[11]])-COUNTBLANK(Table2678[[#This Row],[1]:[11]])-1)))</f>
        <v/>
      </c>
      <c r="AF21" s="30" t="str" cm="1">
        <f t="array" ref="AF21">IF(Table2678[[#This Row],[8]]="","",Table2678[[#This Row],[Weight]:[Weight]]-(Table2678[[#This Row],[Weight]:[Weight]]*((_xlfn.XMATCH(Table2678[[#This Row],[8]],Table2678[[#This Row],[1]:[11]],0))-1)/(COUNTA(Table2678[[#This Row],[1]:[11]])-COUNTBLANK(Table2678[[#This Row],[1]:[11]])-1)))</f>
        <v/>
      </c>
      <c r="AG21" s="30" t="str" cm="1">
        <f t="array" ref="AG21">IF(Table2678[[#This Row],[9]]="","",Table2678[[#This Row],[Weight]:[Weight]]-(Table2678[[#This Row],[Weight]:[Weight]]*((_xlfn.XMATCH(Table2678[[#This Row],[9]],Table2678[[#This Row],[1]:[11]],0))-1)/(COUNTA(Table2678[[#This Row],[1]:[11]])-COUNTBLANK(Table2678[[#This Row],[1]:[11]])-1)))</f>
        <v/>
      </c>
      <c r="AH21" s="30" t="str" cm="1">
        <f t="array" ref="AH21">IF(Table2678[[#This Row],[10]]="","",Table2678[[#This Row],[Weight]:[Weight]]-(Table2678[[#This Row],[Weight]:[Weight]]*((_xlfn.XMATCH(Table2678[[#This Row],[10]],Table2678[[#This Row],[1]:[11]],0))-1)/(COUNTA(Table2678[[#This Row],[1]:[11]])-COUNTBLANK(Table2678[[#This Row],[1]:[11]])-1)))</f>
        <v/>
      </c>
      <c r="AI21" s="30" t="str" cm="1">
        <f t="array" ref="AI21">IF(Table2678[[#This Row],[11]]="","",Table2678[[#This Row],[Weight]:[Weight]]-(Table2678[[#This Row],[Weight]:[Weight]]*((_xlfn.XMATCH(Table2678[[#This Row],[11]],Table2678[[#This Row],[1]:[11]],0))-1)/(COUNTA(Table2678[[#This Row],[1]:[11]])-COUNTBLANK(Table2678[[#This Row],[1]:[11]])-1)))</f>
        <v/>
      </c>
    </row>
    <row r="22" spans="1:35" ht="36" x14ac:dyDescent="0.2">
      <c r="A22" s="32">
        <v>8</v>
      </c>
      <c r="B22" s="33" t="s">
        <v>565</v>
      </c>
      <c r="C22" s="33" t="s">
        <v>566</v>
      </c>
      <c r="D22" s="33" t="s">
        <v>567</v>
      </c>
      <c r="E22" s="33" t="s">
        <v>568</v>
      </c>
      <c r="F22" s="34" t="s">
        <v>60</v>
      </c>
      <c r="G22" s="35" cm="1">
        <f t="array" ref="G22">_xlfn.IFS(F22="","",F22="No interest",0,F22="Nice to have",1,F22="Useful",2,F22="Important",3,F22="Very important",4,F22="Critical",5,F22="Show stopper",6)</f>
        <v>6</v>
      </c>
      <c r="H22" s="36">
        <f t="shared" si="1"/>
        <v>0</v>
      </c>
      <c r="I22" s="37" t="s">
        <v>569</v>
      </c>
      <c r="J22" s="37" t="str" cm="1">
        <f t="array" ref="J22">_xlfn.TEXTJOIN(" "&amp;CHAR(10),,TEXT(SUBSTITUTE(Table2678[[#This Row],[12]:[22]],".",","),"0,00%"))</f>
        <v>0,00% 
0,00% 
0,00%</v>
      </c>
      <c r="K22" s="38" t="s">
        <v>570</v>
      </c>
      <c r="L22" s="39">
        <f>H22-(H22*((MATCH(Table2678[[#This Row],[Evaluators Response (SELECT)]],Table2678[[#This Row],[1]:[11]],0)-1)/(COUNTA(Table2678[[#This Row],[1]:[11]])-COUNTBLANK(Table2678[[#This Row],[1]:[11]])-1)))</f>
        <v>0</v>
      </c>
      <c r="M22" s="40"/>
      <c r="N22" s="29" t="str" cm="1">
        <f t="array" ref="N22">IFERROR(INDEX(_xlfn.UNIQUE(TRIM(_xlfn.TEXTSPLIT(Table2678[[#This Row],[Selection Options]:[Selection Options]],","))),,N$11),"")</f>
        <v>X</v>
      </c>
      <c r="O22" s="29" t="str" cm="1">
        <f t="array" ref="O22">IFERROR(INDEX(_xlfn.UNIQUE(TRIM(_xlfn.TEXTSPLIT(Table2678[[#This Row],[Selection Options]:[Selection Options]],","))),,O$11),"")</f>
        <v xml:space="preserve">
Y</v>
      </c>
      <c r="P22" s="29" t="str" cm="1">
        <f t="array" ref="P22">IFERROR(INDEX(_xlfn.UNIQUE(TRIM(_xlfn.TEXTSPLIT(Table2678[[#This Row],[Selection Options]:[Selection Options]],","))),,P$11),"")</f>
        <v xml:space="preserve">
Z</v>
      </c>
      <c r="Q22" s="29" t="str" cm="1">
        <f t="array" ref="Q22">IFERROR(INDEX(_xlfn.UNIQUE(TRIM(_xlfn.TEXTSPLIT(Table2678[[#This Row],[Selection Options]:[Selection Options]],","))),,Q$11),"")</f>
        <v/>
      </c>
      <c r="R22" s="29" t="str" cm="1">
        <f t="array" ref="R22">IFERROR(INDEX(_xlfn.UNIQUE(TRIM(_xlfn.TEXTSPLIT(Table2678[[#This Row],[Selection Options]:[Selection Options]],","))),,R$11),"")</f>
        <v/>
      </c>
      <c r="S22" s="29" t="str" cm="1">
        <f t="array" ref="S22">IFERROR(INDEX(_xlfn.UNIQUE(TRIM(_xlfn.TEXTSPLIT(Table2678[[#This Row],[Selection Options]:[Selection Options]],","))),,S$11),"")</f>
        <v/>
      </c>
      <c r="T22" s="29" t="str" cm="1">
        <f t="array" ref="T22">IFERROR(INDEX(_xlfn.UNIQUE(TRIM(_xlfn.TEXTSPLIT(Table2678[[#This Row],[Selection Options]:[Selection Options]],","))),,T$11),"")</f>
        <v/>
      </c>
      <c r="U22" s="29" t="str" cm="1">
        <f t="array" ref="U22">IFERROR(INDEX(_xlfn.UNIQUE(TRIM(_xlfn.TEXTSPLIT(Table2678[[#This Row],[Selection Options]:[Selection Options]],","))),,U$11),"")</f>
        <v/>
      </c>
      <c r="V22" s="29" t="str" cm="1">
        <f t="array" ref="V22">IFERROR(INDEX(_xlfn.UNIQUE(TRIM(_xlfn.TEXTSPLIT(Table2678[[#This Row],[Selection Options]:[Selection Options]],","))),,V$11),"")</f>
        <v/>
      </c>
      <c r="W22" s="29" t="str" cm="1">
        <f t="array" ref="W22">IFERROR(INDEX(_xlfn.UNIQUE(TRIM(_xlfn.TEXTSPLIT(Table2678[[#This Row],[Selection Options]:[Selection Options]],","))),,W$11),"")</f>
        <v/>
      </c>
      <c r="X22" s="29" t="str" cm="1">
        <f t="array" ref="X22">IFERROR(INDEX(_xlfn.UNIQUE(TRIM(_xlfn.TEXTSPLIT(Table2678[[#This Row],[Selection Options]:[Selection Options]],","))),,X$11),"")</f>
        <v/>
      </c>
      <c r="Y22" s="30" cm="1">
        <f t="array" ref="Y22">IF(Table2678[[#This Row],[1]]="","",Table2678[[#This Row],[Weight]:[Weight]]-(Table2678[[#This Row],[Weight]:[Weight]]*((_xlfn.XMATCH(Table2678[[#This Row],[1]],Table2678[[#This Row],[1]:[11]],0))-1)/(COUNTA(Table2678[[#This Row],[1]:[11]])-COUNTBLANK(Table2678[[#This Row],[1]:[11]])-1)))</f>
        <v>0</v>
      </c>
      <c r="Z22" s="30" cm="1">
        <f t="array" ref="Z22">IF(Table2678[[#This Row],[2]]="","",Table2678[[#This Row],[Weight]:[Weight]]-(Table2678[[#This Row],[Weight]:[Weight]]*((_xlfn.XMATCH(Table2678[[#This Row],[2]],Table2678[[#This Row],[1]:[11]],0))-1)/(COUNTA(Table2678[[#This Row],[1]:[11]])-COUNTBLANK(Table2678[[#This Row],[1]:[11]])-1)))</f>
        <v>0</v>
      </c>
      <c r="AA22" s="30" cm="1">
        <f t="array" ref="AA22">IF(Table2678[[#This Row],[3]]="","",Table2678[[#This Row],[Weight]:[Weight]]-(Table2678[[#This Row],[Weight]:[Weight]]*((_xlfn.XMATCH(Table2678[[#This Row],[3]],Table2678[[#This Row],[1]:[11]],0))-1)/(COUNTA(Table2678[[#This Row],[1]:[11]])-COUNTBLANK(Table2678[[#This Row],[1]:[11]])-1)))</f>
        <v>0</v>
      </c>
      <c r="AB22" s="30" t="str" cm="1">
        <f t="array" ref="AB22">IF(Table2678[[#This Row],[4]]="","",Table2678[[#This Row],[Weight]:[Weight]]-(Table2678[[#This Row],[Weight]:[Weight]]*((_xlfn.XMATCH(Table2678[[#This Row],[4]],Table2678[[#This Row],[1]:[11]],0))-1)/(COUNTA(Table2678[[#This Row],[1]:[11]])-COUNTBLANK(Table2678[[#This Row],[1]:[11]])-1)))</f>
        <v/>
      </c>
      <c r="AC22" s="30" t="str" cm="1">
        <f t="array" ref="AC22">IF(Table2678[[#This Row],[5]]="","",Table2678[[#This Row],[Weight]:[Weight]]-(Table2678[[#This Row],[Weight]:[Weight]]*((_xlfn.XMATCH(Table2678[[#This Row],[5]],Table2678[[#This Row],[1]:[11]],0))-1)/(COUNTA(Table2678[[#This Row],[1]:[11]])-COUNTBLANK(Table2678[[#This Row],[1]:[11]])-1)))</f>
        <v/>
      </c>
      <c r="AD22" s="30" t="str" cm="1">
        <f t="array" ref="AD22">IF(Table2678[[#This Row],[6]]="","",Table2678[[#This Row],[Weight]:[Weight]]-(Table2678[[#This Row],[Weight]:[Weight]]*((_xlfn.XMATCH(Table2678[[#This Row],[6]],Table2678[[#This Row],[1]:[11]],0))-1)/(COUNTA(Table2678[[#This Row],[1]:[11]])-COUNTBLANK(Table2678[[#This Row],[1]:[11]])-1)))</f>
        <v/>
      </c>
      <c r="AE22" s="30" t="str" cm="1">
        <f t="array" ref="AE22">IF(Table2678[[#This Row],[7]]="","",Table2678[[#This Row],[Weight]:[Weight]]-(Table2678[[#This Row],[Weight]:[Weight]]*((_xlfn.XMATCH(Table2678[[#This Row],[7]],Table2678[[#This Row],[1]:[11]],0))-1)/(COUNTA(Table2678[[#This Row],[1]:[11]])-COUNTBLANK(Table2678[[#This Row],[1]:[11]])-1)))</f>
        <v/>
      </c>
      <c r="AF22" s="30" t="str" cm="1">
        <f t="array" ref="AF22">IF(Table2678[[#This Row],[8]]="","",Table2678[[#This Row],[Weight]:[Weight]]-(Table2678[[#This Row],[Weight]:[Weight]]*((_xlfn.XMATCH(Table2678[[#This Row],[8]],Table2678[[#This Row],[1]:[11]],0))-1)/(COUNTA(Table2678[[#This Row],[1]:[11]])-COUNTBLANK(Table2678[[#This Row],[1]:[11]])-1)))</f>
        <v/>
      </c>
      <c r="AG22" s="30" t="str" cm="1">
        <f t="array" ref="AG22">IF(Table2678[[#This Row],[9]]="","",Table2678[[#This Row],[Weight]:[Weight]]-(Table2678[[#This Row],[Weight]:[Weight]]*((_xlfn.XMATCH(Table2678[[#This Row],[9]],Table2678[[#This Row],[1]:[11]],0))-1)/(COUNTA(Table2678[[#This Row],[1]:[11]])-COUNTBLANK(Table2678[[#This Row],[1]:[11]])-1)))</f>
        <v/>
      </c>
      <c r="AH22" s="30" t="str" cm="1">
        <f t="array" ref="AH22">IF(Table2678[[#This Row],[10]]="","",Table2678[[#This Row],[Weight]:[Weight]]-(Table2678[[#This Row],[Weight]:[Weight]]*((_xlfn.XMATCH(Table2678[[#This Row],[10]],Table2678[[#This Row],[1]:[11]],0))-1)/(COUNTA(Table2678[[#This Row],[1]:[11]])-COUNTBLANK(Table2678[[#This Row],[1]:[11]])-1)))</f>
        <v/>
      </c>
      <c r="AI22" s="30" t="str" cm="1">
        <f t="array" ref="AI22">IF(Table2678[[#This Row],[11]]="","",Table2678[[#This Row],[Weight]:[Weight]]-(Table2678[[#This Row],[Weight]:[Weight]]*((_xlfn.XMATCH(Table2678[[#This Row],[11]],Table2678[[#This Row],[1]:[11]],0))-1)/(COUNTA(Table2678[[#This Row],[1]:[11]])-COUNTBLANK(Table2678[[#This Row],[1]:[11]])-1)))</f>
        <v/>
      </c>
    </row>
    <row r="23" spans="1:35" ht="36" x14ac:dyDescent="0.2">
      <c r="A23" s="32">
        <v>9</v>
      </c>
      <c r="B23" s="40" t="s">
        <v>571</v>
      </c>
      <c r="C23" s="40" t="s">
        <v>572</v>
      </c>
      <c r="D23" s="40" t="s">
        <v>573</v>
      </c>
      <c r="E23" s="40" t="s">
        <v>574</v>
      </c>
      <c r="F23" s="34" t="s">
        <v>271</v>
      </c>
      <c r="G23" s="35" cm="1">
        <f t="array" ref="G23">_xlfn.IFS(F23="","",F23="No interest",0,F23="Nice to have",1,F23="Useful",2,F23="Important",3,F23="Very important",4,F23="Critical",5,F23="Show stopper",6)</f>
        <v>2</v>
      </c>
      <c r="H23" s="36">
        <f t="shared" si="1"/>
        <v>0</v>
      </c>
      <c r="I23" s="37" t="s">
        <v>575</v>
      </c>
      <c r="J23" s="37" t="str" cm="1">
        <f t="array" ref="J23">_xlfn.TEXTJOIN(" "&amp;CHAR(10),,TEXT(SUBSTITUTE(Table2678[[#This Row],[12]:[22]],".",","),"0,00%"))</f>
        <v>0,00% 
0,00% 
0,00%</v>
      </c>
      <c r="K23" s="38" t="s">
        <v>576</v>
      </c>
      <c r="L23" s="39">
        <f>H23-(H23*((MATCH(Table2678[[#This Row],[Evaluators Response (SELECT)]],Table2678[[#This Row],[1]:[11]],0)-1)/(COUNTA(Table2678[[#This Row],[1]:[11]])-COUNTBLANK(Table2678[[#This Row],[1]:[11]])-1)))</f>
        <v>0</v>
      </c>
      <c r="M23" s="40"/>
      <c r="N23" s="29" t="str" cm="1">
        <f t="array" ref="N23">IFERROR(INDEX(_xlfn.UNIQUE(TRIM(_xlfn.TEXTSPLIT(Table2678[[#This Row],[Selection Options]:[Selection Options]],","))),,N$11),"")</f>
        <v>K</v>
      </c>
      <c r="O23" s="29" t="str" cm="1">
        <f t="array" ref="O23">IFERROR(INDEX(_xlfn.UNIQUE(TRIM(_xlfn.TEXTSPLIT(Table2678[[#This Row],[Selection Options]:[Selection Options]],","))),,O$11),"")</f>
        <v xml:space="preserve">
L</v>
      </c>
      <c r="P23" s="29" t="str" cm="1">
        <f t="array" ref="P23">IFERROR(INDEX(_xlfn.UNIQUE(TRIM(_xlfn.TEXTSPLIT(Table2678[[#This Row],[Selection Options]:[Selection Options]],","))),,P$11),"")</f>
        <v xml:space="preserve">
M</v>
      </c>
      <c r="Q23" s="29" t="str" cm="1">
        <f t="array" ref="Q23">IFERROR(INDEX(_xlfn.UNIQUE(TRIM(_xlfn.TEXTSPLIT(Table2678[[#This Row],[Selection Options]:[Selection Options]],","))),,Q$11),"")</f>
        <v/>
      </c>
      <c r="R23" s="29" t="str" cm="1">
        <f t="array" ref="R23">IFERROR(INDEX(_xlfn.UNIQUE(TRIM(_xlfn.TEXTSPLIT(Table2678[[#This Row],[Selection Options]:[Selection Options]],","))),,R$11),"")</f>
        <v/>
      </c>
      <c r="S23" s="29" t="str" cm="1">
        <f t="array" ref="S23">IFERROR(INDEX(_xlfn.UNIQUE(TRIM(_xlfn.TEXTSPLIT(Table2678[[#This Row],[Selection Options]:[Selection Options]],","))),,S$11),"")</f>
        <v/>
      </c>
      <c r="T23" s="29" t="str" cm="1">
        <f t="array" ref="T23">IFERROR(INDEX(_xlfn.UNIQUE(TRIM(_xlfn.TEXTSPLIT(Table2678[[#This Row],[Selection Options]:[Selection Options]],","))),,T$11),"")</f>
        <v/>
      </c>
      <c r="U23" s="29" t="str" cm="1">
        <f t="array" ref="U23">IFERROR(INDEX(_xlfn.UNIQUE(TRIM(_xlfn.TEXTSPLIT(Table2678[[#This Row],[Selection Options]:[Selection Options]],","))),,U$11),"")</f>
        <v/>
      </c>
      <c r="V23" s="29" t="str" cm="1">
        <f t="array" ref="V23">IFERROR(INDEX(_xlfn.UNIQUE(TRIM(_xlfn.TEXTSPLIT(Table2678[[#This Row],[Selection Options]:[Selection Options]],","))),,V$11),"")</f>
        <v/>
      </c>
      <c r="W23" s="29" t="str" cm="1">
        <f t="array" ref="W23">IFERROR(INDEX(_xlfn.UNIQUE(TRIM(_xlfn.TEXTSPLIT(Table2678[[#This Row],[Selection Options]:[Selection Options]],","))),,W$11),"")</f>
        <v/>
      </c>
      <c r="X23" s="29" t="str" cm="1">
        <f t="array" ref="X23">IFERROR(INDEX(_xlfn.UNIQUE(TRIM(_xlfn.TEXTSPLIT(Table2678[[#This Row],[Selection Options]:[Selection Options]],","))),,X$11),"")</f>
        <v/>
      </c>
      <c r="Y23" s="30" cm="1">
        <f t="array" ref="Y23">IF(Table2678[[#This Row],[1]]="","",Table2678[[#This Row],[Weight]:[Weight]]-(Table2678[[#This Row],[Weight]:[Weight]]*((_xlfn.XMATCH(Table2678[[#This Row],[1]],Table2678[[#This Row],[1]:[11]],0))-1)/(COUNTA(Table2678[[#This Row],[1]:[11]])-COUNTBLANK(Table2678[[#This Row],[1]:[11]])-1)))</f>
        <v>0</v>
      </c>
      <c r="Z23" s="30" cm="1">
        <f t="array" ref="Z23">IF(Table2678[[#This Row],[2]]="","",Table2678[[#This Row],[Weight]:[Weight]]-(Table2678[[#This Row],[Weight]:[Weight]]*((_xlfn.XMATCH(Table2678[[#This Row],[2]],Table2678[[#This Row],[1]:[11]],0))-1)/(COUNTA(Table2678[[#This Row],[1]:[11]])-COUNTBLANK(Table2678[[#This Row],[1]:[11]])-1)))</f>
        <v>0</v>
      </c>
      <c r="AA23" s="30" cm="1">
        <f t="array" ref="AA23">IF(Table2678[[#This Row],[3]]="","",Table2678[[#This Row],[Weight]:[Weight]]-(Table2678[[#This Row],[Weight]:[Weight]]*((_xlfn.XMATCH(Table2678[[#This Row],[3]],Table2678[[#This Row],[1]:[11]],0))-1)/(COUNTA(Table2678[[#This Row],[1]:[11]])-COUNTBLANK(Table2678[[#This Row],[1]:[11]])-1)))</f>
        <v>0</v>
      </c>
      <c r="AB23" s="30" t="str" cm="1">
        <f t="array" ref="AB23">IF(Table2678[[#This Row],[4]]="","",Table2678[[#This Row],[Weight]:[Weight]]-(Table2678[[#This Row],[Weight]:[Weight]]*((_xlfn.XMATCH(Table2678[[#This Row],[4]],Table2678[[#This Row],[1]:[11]],0))-1)/(COUNTA(Table2678[[#This Row],[1]:[11]])-COUNTBLANK(Table2678[[#This Row],[1]:[11]])-1)))</f>
        <v/>
      </c>
      <c r="AC23" s="30" t="str" cm="1">
        <f t="array" ref="AC23">IF(Table2678[[#This Row],[5]]="","",Table2678[[#This Row],[Weight]:[Weight]]-(Table2678[[#This Row],[Weight]:[Weight]]*((_xlfn.XMATCH(Table2678[[#This Row],[5]],Table2678[[#This Row],[1]:[11]],0))-1)/(COUNTA(Table2678[[#This Row],[1]:[11]])-COUNTBLANK(Table2678[[#This Row],[1]:[11]])-1)))</f>
        <v/>
      </c>
      <c r="AD23" s="30" t="str" cm="1">
        <f t="array" ref="AD23">IF(Table2678[[#This Row],[6]]="","",Table2678[[#This Row],[Weight]:[Weight]]-(Table2678[[#This Row],[Weight]:[Weight]]*((_xlfn.XMATCH(Table2678[[#This Row],[6]],Table2678[[#This Row],[1]:[11]],0))-1)/(COUNTA(Table2678[[#This Row],[1]:[11]])-COUNTBLANK(Table2678[[#This Row],[1]:[11]])-1)))</f>
        <v/>
      </c>
      <c r="AE23" s="30" t="str" cm="1">
        <f t="array" ref="AE23">IF(Table2678[[#This Row],[7]]="","",Table2678[[#This Row],[Weight]:[Weight]]-(Table2678[[#This Row],[Weight]:[Weight]]*((_xlfn.XMATCH(Table2678[[#This Row],[7]],Table2678[[#This Row],[1]:[11]],0))-1)/(COUNTA(Table2678[[#This Row],[1]:[11]])-COUNTBLANK(Table2678[[#This Row],[1]:[11]])-1)))</f>
        <v/>
      </c>
      <c r="AF23" s="30" t="str" cm="1">
        <f t="array" ref="AF23">IF(Table2678[[#This Row],[8]]="","",Table2678[[#This Row],[Weight]:[Weight]]-(Table2678[[#This Row],[Weight]:[Weight]]*((_xlfn.XMATCH(Table2678[[#This Row],[8]],Table2678[[#This Row],[1]:[11]],0))-1)/(COUNTA(Table2678[[#This Row],[1]:[11]])-COUNTBLANK(Table2678[[#This Row],[1]:[11]])-1)))</f>
        <v/>
      </c>
      <c r="AG23" s="30" t="str" cm="1">
        <f t="array" ref="AG23">IF(Table2678[[#This Row],[9]]="","",Table2678[[#This Row],[Weight]:[Weight]]-(Table2678[[#This Row],[Weight]:[Weight]]*((_xlfn.XMATCH(Table2678[[#This Row],[9]],Table2678[[#This Row],[1]:[11]],0))-1)/(COUNTA(Table2678[[#This Row],[1]:[11]])-COUNTBLANK(Table2678[[#This Row],[1]:[11]])-1)))</f>
        <v/>
      </c>
      <c r="AH23" s="30" t="str" cm="1">
        <f t="array" ref="AH23">IF(Table2678[[#This Row],[10]]="","",Table2678[[#This Row],[Weight]:[Weight]]-(Table2678[[#This Row],[Weight]:[Weight]]*((_xlfn.XMATCH(Table2678[[#This Row],[10]],Table2678[[#This Row],[1]:[11]],0))-1)/(COUNTA(Table2678[[#This Row],[1]:[11]])-COUNTBLANK(Table2678[[#This Row],[1]:[11]])-1)))</f>
        <v/>
      </c>
      <c r="AI23" s="30" t="str" cm="1">
        <f t="array" ref="AI23">IF(Table2678[[#This Row],[11]]="","",Table2678[[#This Row],[Weight]:[Weight]]-(Table2678[[#This Row],[Weight]:[Weight]]*((_xlfn.XMATCH(Table2678[[#This Row],[11]],Table2678[[#This Row],[1]:[11]],0))-1)/(COUNTA(Table2678[[#This Row],[1]:[11]])-COUNTBLANK(Table2678[[#This Row],[1]:[11]])-1)))</f>
        <v/>
      </c>
    </row>
    <row r="24" spans="1:35" ht="36" x14ac:dyDescent="0.2">
      <c r="A24" s="32">
        <v>10</v>
      </c>
      <c r="B24" s="40"/>
      <c r="C24" s="40"/>
      <c r="D24" s="40"/>
      <c r="E24" s="40"/>
      <c r="F24" s="34" t="s">
        <v>56</v>
      </c>
      <c r="G24" s="35" cm="1">
        <f t="array" ref="G24">_xlfn.IFS(F24="","",F24="No interest",0,F24="Nice to have",1,F24="Useful",2,F24="Important",3,F24="Very important",4,F24="Critical",5,F24="Show stopper",6)</f>
        <v>3</v>
      </c>
      <c r="H24" s="36">
        <f t="shared" si="1"/>
        <v>0</v>
      </c>
      <c r="I24" s="37" t="s">
        <v>577</v>
      </c>
      <c r="J24" s="37" t="str" cm="1">
        <f t="array" ref="J24">_xlfn.TEXTJOIN(" "&amp;CHAR(10),,TEXT(SUBSTITUTE(Table2678[[#This Row],[12]:[22]],".",","),"0,00%"))</f>
        <v>0,00% 
0,00% 
0,00%</v>
      </c>
      <c r="K24" s="38" t="s">
        <v>578</v>
      </c>
      <c r="L24" s="39">
        <f>H24-(H24*((MATCH(Table2678[[#This Row],[Evaluators Response (SELECT)]],Table2678[[#This Row],[1]:[11]],0)-1)/(COUNTA(Table2678[[#This Row],[1]:[11]])-COUNTBLANK(Table2678[[#This Row],[1]:[11]])-1)))</f>
        <v>0</v>
      </c>
      <c r="M24" s="40"/>
      <c r="N24" s="29" t="str" cm="1">
        <f t="array" ref="N24">IFERROR(INDEX(_xlfn.UNIQUE(TRIM(_xlfn.TEXTSPLIT(Table2678[[#This Row],[Selection Options]:[Selection Options]],","))),,N$11),"")</f>
        <v>t</v>
      </c>
      <c r="O24" s="29" t="str" cm="1">
        <f t="array" ref="O24">IFERROR(INDEX(_xlfn.UNIQUE(TRIM(_xlfn.TEXTSPLIT(Table2678[[#This Row],[Selection Options]:[Selection Options]],","))),,O$11),"")</f>
        <v xml:space="preserve">
s</v>
      </c>
      <c r="P24" s="29" t="str" cm="1">
        <f t="array" ref="P24">IFERROR(INDEX(_xlfn.UNIQUE(TRIM(_xlfn.TEXTSPLIT(Table2678[[#This Row],[Selection Options]:[Selection Options]],","))),,P$11),"")</f>
        <v xml:space="preserve">
w</v>
      </c>
      <c r="Q24" s="29" t="str" cm="1">
        <f t="array" ref="Q24">IFERROR(INDEX(_xlfn.UNIQUE(TRIM(_xlfn.TEXTSPLIT(Table2678[[#This Row],[Selection Options]:[Selection Options]],","))),,Q$11),"")</f>
        <v/>
      </c>
      <c r="R24" s="29" t="str" cm="1">
        <f t="array" ref="R24">IFERROR(INDEX(_xlfn.UNIQUE(TRIM(_xlfn.TEXTSPLIT(Table2678[[#This Row],[Selection Options]:[Selection Options]],","))),,R$11),"")</f>
        <v/>
      </c>
      <c r="S24" s="29" t="str" cm="1">
        <f t="array" ref="S24">IFERROR(INDEX(_xlfn.UNIQUE(TRIM(_xlfn.TEXTSPLIT(Table2678[[#This Row],[Selection Options]:[Selection Options]],","))),,S$11),"")</f>
        <v/>
      </c>
      <c r="T24" s="29" t="str" cm="1">
        <f t="array" ref="T24">IFERROR(INDEX(_xlfn.UNIQUE(TRIM(_xlfn.TEXTSPLIT(Table2678[[#This Row],[Selection Options]:[Selection Options]],","))),,T$11),"")</f>
        <v/>
      </c>
      <c r="U24" s="29" t="str" cm="1">
        <f t="array" ref="U24">IFERROR(INDEX(_xlfn.UNIQUE(TRIM(_xlfn.TEXTSPLIT(Table2678[[#This Row],[Selection Options]:[Selection Options]],","))),,U$11),"")</f>
        <v/>
      </c>
      <c r="V24" s="29" t="str" cm="1">
        <f t="array" ref="V24">IFERROR(INDEX(_xlfn.UNIQUE(TRIM(_xlfn.TEXTSPLIT(Table2678[[#This Row],[Selection Options]:[Selection Options]],","))),,V$11),"")</f>
        <v/>
      </c>
      <c r="W24" s="29" t="str" cm="1">
        <f t="array" ref="W24">IFERROR(INDEX(_xlfn.UNIQUE(TRIM(_xlfn.TEXTSPLIT(Table2678[[#This Row],[Selection Options]:[Selection Options]],","))),,W$11),"")</f>
        <v/>
      </c>
      <c r="X24" s="29" t="str" cm="1">
        <f t="array" ref="X24">IFERROR(INDEX(_xlfn.UNIQUE(TRIM(_xlfn.TEXTSPLIT(Table2678[[#This Row],[Selection Options]:[Selection Options]],","))),,X$11),"")</f>
        <v/>
      </c>
      <c r="Y24" s="30" cm="1">
        <f t="array" ref="Y24">IF(Table2678[[#This Row],[1]]="","",Table2678[[#This Row],[Weight]:[Weight]]-(Table2678[[#This Row],[Weight]:[Weight]]*((_xlfn.XMATCH(Table2678[[#This Row],[1]],Table2678[[#This Row],[1]:[11]],0))-1)/(COUNTA(Table2678[[#This Row],[1]:[11]])-COUNTBLANK(Table2678[[#This Row],[1]:[11]])-1)))</f>
        <v>0</v>
      </c>
      <c r="Z24" s="30" cm="1">
        <f t="array" ref="Z24">IF(Table2678[[#This Row],[2]]="","",Table2678[[#This Row],[Weight]:[Weight]]-(Table2678[[#This Row],[Weight]:[Weight]]*((_xlfn.XMATCH(Table2678[[#This Row],[2]],Table2678[[#This Row],[1]:[11]],0))-1)/(COUNTA(Table2678[[#This Row],[1]:[11]])-COUNTBLANK(Table2678[[#This Row],[1]:[11]])-1)))</f>
        <v>0</v>
      </c>
      <c r="AA24" s="30" cm="1">
        <f t="array" ref="AA24">IF(Table2678[[#This Row],[3]]="","",Table2678[[#This Row],[Weight]:[Weight]]-(Table2678[[#This Row],[Weight]:[Weight]]*((_xlfn.XMATCH(Table2678[[#This Row],[3]],Table2678[[#This Row],[1]:[11]],0))-1)/(COUNTA(Table2678[[#This Row],[1]:[11]])-COUNTBLANK(Table2678[[#This Row],[1]:[11]])-1)))</f>
        <v>0</v>
      </c>
      <c r="AB24" s="30" t="str" cm="1">
        <f t="array" ref="AB24">IF(Table2678[[#This Row],[4]]="","",Table2678[[#This Row],[Weight]:[Weight]]-(Table2678[[#This Row],[Weight]:[Weight]]*((_xlfn.XMATCH(Table2678[[#This Row],[4]],Table2678[[#This Row],[1]:[11]],0))-1)/(COUNTA(Table2678[[#This Row],[1]:[11]])-COUNTBLANK(Table2678[[#This Row],[1]:[11]])-1)))</f>
        <v/>
      </c>
      <c r="AC24" s="30" t="str" cm="1">
        <f t="array" ref="AC24">IF(Table2678[[#This Row],[5]]="","",Table2678[[#This Row],[Weight]:[Weight]]-(Table2678[[#This Row],[Weight]:[Weight]]*((_xlfn.XMATCH(Table2678[[#This Row],[5]],Table2678[[#This Row],[1]:[11]],0))-1)/(COUNTA(Table2678[[#This Row],[1]:[11]])-COUNTBLANK(Table2678[[#This Row],[1]:[11]])-1)))</f>
        <v/>
      </c>
      <c r="AD24" s="30" t="str" cm="1">
        <f t="array" ref="AD24">IF(Table2678[[#This Row],[6]]="","",Table2678[[#This Row],[Weight]:[Weight]]-(Table2678[[#This Row],[Weight]:[Weight]]*((_xlfn.XMATCH(Table2678[[#This Row],[6]],Table2678[[#This Row],[1]:[11]],0))-1)/(COUNTA(Table2678[[#This Row],[1]:[11]])-COUNTBLANK(Table2678[[#This Row],[1]:[11]])-1)))</f>
        <v/>
      </c>
      <c r="AE24" s="30" t="str" cm="1">
        <f t="array" ref="AE24">IF(Table2678[[#This Row],[7]]="","",Table2678[[#This Row],[Weight]:[Weight]]-(Table2678[[#This Row],[Weight]:[Weight]]*((_xlfn.XMATCH(Table2678[[#This Row],[7]],Table2678[[#This Row],[1]:[11]],0))-1)/(COUNTA(Table2678[[#This Row],[1]:[11]])-COUNTBLANK(Table2678[[#This Row],[1]:[11]])-1)))</f>
        <v/>
      </c>
      <c r="AF24" s="30" t="str" cm="1">
        <f t="array" ref="AF24">IF(Table2678[[#This Row],[8]]="","",Table2678[[#This Row],[Weight]:[Weight]]-(Table2678[[#This Row],[Weight]:[Weight]]*((_xlfn.XMATCH(Table2678[[#This Row],[8]],Table2678[[#This Row],[1]:[11]],0))-1)/(COUNTA(Table2678[[#This Row],[1]:[11]])-COUNTBLANK(Table2678[[#This Row],[1]:[11]])-1)))</f>
        <v/>
      </c>
      <c r="AG24" s="30" t="str" cm="1">
        <f t="array" ref="AG24">IF(Table2678[[#This Row],[9]]="","",Table2678[[#This Row],[Weight]:[Weight]]-(Table2678[[#This Row],[Weight]:[Weight]]*((_xlfn.XMATCH(Table2678[[#This Row],[9]],Table2678[[#This Row],[1]:[11]],0))-1)/(COUNTA(Table2678[[#This Row],[1]:[11]])-COUNTBLANK(Table2678[[#This Row],[1]:[11]])-1)))</f>
        <v/>
      </c>
      <c r="AH24" s="30" t="str" cm="1">
        <f t="array" ref="AH24">IF(Table2678[[#This Row],[10]]="","",Table2678[[#This Row],[Weight]:[Weight]]-(Table2678[[#This Row],[Weight]:[Weight]]*((_xlfn.XMATCH(Table2678[[#This Row],[10]],Table2678[[#This Row],[1]:[11]],0))-1)/(COUNTA(Table2678[[#This Row],[1]:[11]])-COUNTBLANK(Table2678[[#This Row],[1]:[11]])-1)))</f>
        <v/>
      </c>
      <c r="AI24" s="30" t="str" cm="1">
        <f t="array" ref="AI24">IF(Table2678[[#This Row],[11]]="","",Table2678[[#This Row],[Weight]:[Weight]]-(Table2678[[#This Row],[Weight]:[Weight]]*((_xlfn.XMATCH(Table2678[[#This Row],[11]],Table2678[[#This Row],[1]:[11]],0))-1)/(COUNTA(Table2678[[#This Row],[1]:[11]])-COUNTBLANK(Table2678[[#This Row],[1]:[11]])-1)))</f>
        <v/>
      </c>
    </row>
    <row r="25" spans="1:35" ht="48" x14ac:dyDescent="0.2">
      <c r="A25" s="32">
        <v>11</v>
      </c>
      <c r="B25" s="40"/>
      <c r="C25" s="40"/>
      <c r="D25" s="40"/>
      <c r="E25" s="40"/>
      <c r="F25" s="34" t="s">
        <v>248</v>
      </c>
      <c r="G25" s="35" cm="1">
        <f t="array" ref="G25">_xlfn.IFS(F25="","",F25="No interest",0,F25="Nice to have",1,F25="Useful",2,F25="Important",3,F25="Very important",4,F25="Critical",5,F25="Show stopper",6)</f>
        <v>4</v>
      </c>
      <c r="H25" s="36">
        <f t="shared" si="1"/>
        <v>0</v>
      </c>
      <c r="I25" s="37" t="s">
        <v>556</v>
      </c>
      <c r="J25" s="37" t="str" cm="1">
        <f t="array" ref="J25">_xlfn.TEXTJOIN(" "&amp;CHAR(10),,TEXT(SUBSTITUTE(Table2678[[#This Row],[12]:[22]],".",","),"0,00%"))</f>
        <v>0,00% 
0,00% 
0,00% 
0,00%</v>
      </c>
      <c r="K25" s="38" t="s">
        <v>579</v>
      </c>
      <c r="L25" s="39">
        <f>H25-(H25*((MATCH(Table2678[[#This Row],[Evaluators Response (SELECT)]],Table2678[[#This Row],[1]:[11]],0)-1)/(COUNTA(Table2678[[#This Row],[1]:[11]])-COUNTBLANK(Table2678[[#This Row],[1]:[11]])-1)))</f>
        <v>0</v>
      </c>
      <c r="M25" s="40"/>
      <c r="N25" s="29" t="str" cm="1">
        <f t="array" ref="N25">IFERROR(INDEX(_xlfn.UNIQUE(TRIM(_xlfn.TEXTSPLIT(Table2678[[#This Row],[Selection Options]:[Selection Options]],","))),,N$11),"")</f>
        <v>A</v>
      </c>
      <c r="O25" s="29" t="str" cm="1">
        <f t="array" ref="O25">IFERROR(INDEX(_xlfn.UNIQUE(TRIM(_xlfn.TEXTSPLIT(Table2678[[#This Row],[Selection Options]:[Selection Options]],","))),,O$11),"")</f>
        <v xml:space="preserve">
B</v>
      </c>
      <c r="P25" s="29" t="str" cm="1">
        <f t="array" ref="P25">IFERROR(INDEX(_xlfn.UNIQUE(TRIM(_xlfn.TEXTSPLIT(Table2678[[#This Row],[Selection Options]:[Selection Options]],","))),,P$11),"")</f>
        <v xml:space="preserve">
C</v>
      </c>
      <c r="Q25" s="29" t="str" cm="1">
        <f t="array" ref="Q25">IFERROR(INDEX(_xlfn.UNIQUE(TRIM(_xlfn.TEXTSPLIT(Table2678[[#This Row],[Selection Options]:[Selection Options]],","))),,Q$11),"")</f>
        <v xml:space="preserve">
D</v>
      </c>
      <c r="R25" s="29" t="str" cm="1">
        <f t="array" ref="R25">IFERROR(INDEX(_xlfn.UNIQUE(TRIM(_xlfn.TEXTSPLIT(Table2678[[#This Row],[Selection Options]:[Selection Options]],","))),,R$11),"")</f>
        <v/>
      </c>
      <c r="S25" s="29" t="str" cm="1">
        <f t="array" ref="S25">IFERROR(INDEX(_xlfn.UNIQUE(TRIM(_xlfn.TEXTSPLIT(Table2678[[#This Row],[Selection Options]:[Selection Options]],","))),,S$11),"")</f>
        <v/>
      </c>
      <c r="T25" s="29" t="str" cm="1">
        <f t="array" ref="T25">IFERROR(INDEX(_xlfn.UNIQUE(TRIM(_xlfn.TEXTSPLIT(Table2678[[#This Row],[Selection Options]:[Selection Options]],","))),,T$11),"")</f>
        <v/>
      </c>
      <c r="U25" s="29" t="str" cm="1">
        <f t="array" ref="U25">IFERROR(INDEX(_xlfn.UNIQUE(TRIM(_xlfn.TEXTSPLIT(Table2678[[#This Row],[Selection Options]:[Selection Options]],","))),,U$11),"")</f>
        <v/>
      </c>
      <c r="V25" s="29" t="str" cm="1">
        <f t="array" ref="V25">IFERROR(INDEX(_xlfn.UNIQUE(TRIM(_xlfn.TEXTSPLIT(Table2678[[#This Row],[Selection Options]:[Selection Options]],","))),,V$11),"")</f>
        <v/>
      </c>
      <c r="W25" s="29" t="str" cm="1">
        <f t="array" ref="W25">IFERROR(INDEX(_xlfn.UNIQUE(TRIM(_xlfn.TEXTSPLIT(Table2678[[#This Row],[Selection Options]:[Selection Options]],","))),,W$11),"")</f>
        <v/>
      </c>
      <c r="X25" s="29" t="str" cm="1">
        <f t="array" ref="X25">IFERROR(INDEX(_xlfn.UNIQUE(TRIM(_xlfn.TEXTSPLIT(Table2678[[#This Row],[Selection Options]:[Selection Options]],","))),,X$11),"")</f>
        <v/>
      </c>
      <c r="Y25" s="30" cm="1">
        <f t="array" ref="Y25">IF(Table2678[[#This Row],[1]]="","",Table2678[[#This Row],[Weight]:[Weight]]-(Table2678[[#This Row],[Weight]:[Weight]]*((_xlfn.XMATCH(Table2678[[#This Row],[1]],Table2678[[#This Row],[1]:[11]],0))-1)/(COUNTA(Table2678[[#This Row],[1]:[11]])-COUNTBLANK(Table2678[[#This Row],[1]:[11]])-1)))</f>
        <v>0</v>
      </c>
      <c r="Z25" s="30" cm="1">
        <f t="array" ref="Z25">IF(Table2678[[#This Row],[2]]="","",Table2678[[#This Row],[Weight]:[Weight]]-(Table2678[[#This Row],[Weight]:[Weight]]*((_xlfn.XMATCH(Table2678[[#This Row],[2]],Table2678[[#This Row],[1]:[11]],0))-1)/(COUNTA(Table2678[[#This Row],[1]:[11]])-COUNTBLANK(Table2678[[#This Row],[1]:[11]])-1)))</f>
        <v>0</v>
      </c>
      <c r="AA25" s="30" cm="1">
        <f t="array" ref="AA25">IF(Table2678[[#This Row],[3]]="","",Table2678[[#This Row],[Weight]:[Weight]]-(Table2678[[#This Row],[Weight]:[Weight]]*((_xlfn.XMATCH(Table2678[[#This Row],[3]],Table2678[[#This Row],[1]:[11]],0))-1)/(COUNTA(Table2678[[#This Row],[1]:[11]])-COUNTBLANK(Table2678[[#This Row],[1]:[11]])-1)))</f>
        <v>0</v>
      </c>
      <c r="AB25" s="30" cm="1">
        <f t="array" ref="AB25">IF(Table2678[[#This Row],[4]]="","",Table2678[[#This Row],[Weight]:[Weight]]-(Table2678[[#This Row],[Weight]:[Weight]]*((_xlfn.XMATCH(Table2678[[#This Row],[4]],Table2678[[#This Row],[1]:[11]],0))-1)/(COUNTA(Table2678[[#This Row],[1]:[11]])-COUNTBLANK(Table2678[[#This Row],[1]:[11]])-1)))</f>
        <v>0</v>
      </c>
      <c r="AC25" s="30" t="str" cm="1">
        <f t="array" ref="AC25">IF(Table2678[[#This Row],[5]]="","",Table2678[[#This Row],[Weight]:[Weight]]-(Table2678[[#This Row],[Weight]:[Weight]]*((_xlfn.XMATCH(Table2678[[#This Row],[5]],Table2678[[#This Row],[1]:[11]],0))-1)/(COUNTA(Table2678[[#This Row],[1]:[11]])-COUNTBLANK(Table2678[[#This Row],[1]:[11]])-1)))</f>
        <v/>
      </c>
      <c r="AD25" s="30" t="str" cm="1">
        <f t="array" ref="AD25">IF(Table2678[[#This Row],[6]]="","",Table2678[[#This Row],[Weight]:[Weight]]-(Table2678[[#This Row],[Weight]:[Weight]]*((_xlfn.XMATCH(Table2678[[#This Row],[6]],Table2678[[#This Row],[1]:[11]],0))-1)/(COUNTA(Table2678[[#This Row],[1]:[11]])-COUNTBLANK(Table2678[[#This Row],[1]:[11]])-1)))</f>
        <v/>
      </c>
      <c r="AE25" s="30" t="str" cm="1">
        <f t="array" ref="AE25">IF(Table2678[[#This Row],[7]]="","",Table2678[[#This Row],[Weight]:[Weight]]-(Table2678[[#This Row],[Weight]:[Weight]]*((_xlfn.XMATCH(Table2678[[#This Row],[7]],Table2678[[#This Row],[1]:[11]],0))-1)/(COUNTA(Table2678[[#This Row],[1]:[11]])-COUNTBLANK(Table2678[[#This Row],[1]:[11]])-1)))</f>
        <v/>
      </c>
      <c r="AF25" s="30" t="str" cm="1">
        <f t="array" ref="AF25">IF(Table2678[[#This Row],[8]]="","",Table2678[[#This Row],[Weight]:[Weight]]-(Table2678[[#This Row],[Weight]:[Weight]]*((_xlfn.XMATCH(Table2678[[#This Row],[8]],Table2678[[#This Row],[1]:[11]],0))-1)/(COUNTA(Table2678[[#This Row],[1]:[11]])-COUNTBLANK(Table2678[[#This Row],[1]:[11]])-1)))</f>
        <v/>
      </c>
      <c r="AG25" s="30" t="str" cm="1">
        <f t="array" ref="AG25">IF(Table2678[[#This Row],[9]]="","",Table2678[[#This Row],[Weight]:[Weight]]-(Table2678[[#This Row],[Weight]:[Weight]]*((_xlfn.XMATCH(Table2678[[#This Row],[9]],Table2678[[#This Row],[1]:[11]],0))-1)/(COUNTA(Table2678[[#This Row],[1]:[11]])-COUNTBLANK(Table2678[[#This Row],[1]:[11]])-1)))</f>
        <v/>
      </c>
      <c r="AH25" s="30" t="str" cm="1">
        <f t="array" ref="AH25">IF(Table2678[[#This Row],[10]]="","",Table2678[[#This Row],[Weight]:[Weight]]-(Table2678[[#This Row],[Weight]:[Weight]]*((_xlfn.XMATCH(Table2678[[#This Row],[10]],Table2678[[#This Row],[1]:[11]],0))-1)/(COUNTA(Table2678[[#This Row],[1]:[11]])-COUNTBLANK(Table2678[[#This Row],[1]:[11]])-1)))</f>
        <v/>
      </c>
      <c r="AI25" s="30" t="str" cm="1">
        <f t="array" ref="AI25">IF(Table2678[[#This Row],[11]]="","",Table2678[[#This Row],[Weight]:[Weight]]-(Table2678[[#This Row],[Weight]:[Weight]]*((_xlfn.XMATCH(Table2678[[#This Row],[11]],Table2678[[#This Row],[1]:[11]],0))-1)/(COUNTA(Table2678[[#This Row],[1]:[11]])-COUNTBLANK(Table2678[[#This Row],[1]:[11]])-1)))</f>
        <v/>
      </c>
    </row>
    <row r="26" spans="1:35" ht="36" x14ac:dyDescent="0.2">
      <c r="A26" s="32">
        <v>12</v>
      </c>
      <c r="B26" s="40" t="s">
        <v>580</v>
      </c>
      <c r="C26" s="40" t="s">
        <v>581</v>
      </c>
      <c r="D26" s="40" t="s">
        <v>582</v>
      </c>
      <c r="E26" s="40" t="s">
        <v>583</v>
      </c>
      <c r="F26" s="34" t="s">
        <v>271</v>
      </c>
      <c r="G26" s="35" cm="1">
        <f t="array" ref="G26">_xlfn.IFS(F26="","",F26="No interest",0,F26="Nice to have",1,F26="Useful",2,F26="Important",3,F26="Very important",4,F26="Critical",5,F26="Show stopper",6)</f>
        <v>2</v>
      </c>
      <c r="H26" s="36">
        <f t="shared" si="1"/>
        <v>0</v>
      </c>
      <c r="I26" s="37" t="s">
        <v>584</v>
      </c>
      <c r="J26" s="37" t="str" cm="1">
        <f t="array" ref="J26">_xlfn.TEXTJOIN(" "&amp;CHAR(10),,TEXT(SUBSTITUTE(Table2678[[#This Row],[12]:[22]],".",","),"0,00%"))</f>
        <v>0,00% 
0,00% 
0,00%</v>
      </c>
      <c r="K26" s="38" t="s">
        <v>33</v>
      </c>
      <c r="L26" s="39">
        <f>H26-(H26*((MATCH(Table2678[[#This Row],[Evaluators Response (SELECT)]],Table2678[[#This Row],[1]:[11]],0)-1)/(COUNTA(Table2678[[#This Row],[1]:[11]])-COUNTBLANK(Table2678[[#This Row],[1]:[11]])-1)))</f>
        <v>0</v>
      </c>
      <c r="M26" s="40"/>
      <c r="N26" s="29" t="str" cm="1">
        <f t="array" ref="N26">IFERROR(INDEX(_xlfn.UNIQUE(TRIM(_xlfn.TEXTSPLIT(Table2678[[#This Row],[Selection Options]:[Selection Options]],","))),,N$11),"")</f>
        <v>3</v>
      </c>
      <c r="O26" s="29" t="str" cm="1">
        <f t="array" ref="O26">IFERROR(INDEX(_xlfn.UNIQUE(TRIM(_xlfn.TEXTSPLIT(Table2678[[#This Row],[Selection Options]:[Selection Options]],","))),,O$11),"")</f>
        <v>2</v>
      </c>
      <c r="P26" s="29" t="str" cm="1">
        <f t="array" ref="P26">IFERROR(INDEX(_xlfn.UNIQUE(TRIM(_xlfn.TEXTSPLIT(Table2678[[#This Row],[Selection Options]:[Selection Options]],","))),,P$11),"")</f>
        <v>1</v>
      </c>
      <c r="Q26" s="29" t="str" cm="1">
        <f t="array" ref="Q26">IFERROR(INDEX(_xlfn.UNIQUE(TRIM(_xlfn.TEXTSPLIT(Table2678[[#This Row],[Selection Options]:[Selection Options]],","))),,Q$11),"")</f>
        <v/>
      </c>
      <c r="R26" s="29" t="str" cm="1">
        <f t="array" ref="R26">IFERROR(INDEX(_xlfn.UNIQUE(TRIM(_xlfn.TEXTSPLIT(Table2678[[#This Row],[Selection Options]:[Selection Options]],","))),,R$11),"")</f>
        <v/>
      </c>
      <c r="S26" s="29" t="str" cm="1">
        <f t="array" ref="S26">IFERROR(INDEX(_xlfn.UNIQUE(TRIM(_xlfn.TEXTSPLIT(Table2678[[#This Row],[Selection Options]:[Selection Options]],","))),,S$11),"")</f>
        <v/>
      </c>
      <c r="T26" s="29" t="str" cm="1">
        <f t="array" ref="T26">IFERROR(INDEX(_xlfn.UNIQUE(TRIM(_xlfn.TEXTSPLIT(Table2678[[#This Row],[Selection Options]:[Selection Options]],","))),,T$11),"")</f>
        <v/>
      </c>
      <c r="U26" s="29" t="str" cm="1">
        <f t="array" ref="U26">IFERROR(INDEX(_xlfn.UNIQUE(TRIM(_xlfn.TEXTSPLIT(Table2678[[#This Row],[Selection Options]:[Selection Options]],","))),,U$11),"")</f>
        <v/>
      </c>
      <c r="V26" s="29" t="str" cm="1">
        <f t="array" ref="V26">IFERROR(INDEX(_xlfn.UNIQUE(TRIM(_xlfn.TEXTSPLIT(Table2678[[#This Row],[Selection Options]:[Selection Options]],","))),,V$11),"")</f>
        <v/>
      </c>
      <c r="W26" s="29" t="str" cm="1">
        <f t="array" ref="W26">IFERROR(INDEX(_xlfn.UNIQUE(TRIM(_xlfn.TEXTSPLIT(Table2678[[#This Row],[Selection Options]:[Selection Options]],","))),,W$11),"")</f>
        <v/>
      </c>
      <c r="X26" s="29" t="str" cm="1">
        <f t="array" ref="X26">IFERROR(INDEX(_xlfn.UNIQUE(TRIM(_xlfn.TEXTSPLIT(Table2678[[#This Row],[Selection Options]:[Selection Options]],","))),,X$11),"")</f>
        <v/>
      </c>
      <c r="Y26" s="30" cm="1">
        <f t="array" ref="Y26">IF(Table2678[[#This Row],[1]]="","",Table2678[[#This Row],[Weight]:[Weight]]-(Table2678[[#This Row],[Weight]:[Weight]]*((_xlfn.XMATCH(Table2678[[#This Row],[1]],Table2678[[#This Row],[1]:[11]],0))-1)/(COUNTA(Table2678[[#This Row],[1]:[11]])-COUNTBLANK(Table2678[[#This Row],[1]:[11]])-1)))</f>
        <v>0</v>
      </c>
      <c r="Z26" s="30" cm="1">
        <f t="array" ref="Z26">IF(Table2678[[#This Row],[2]]="","",Table2678[[#This Row],[Weight]:[Weight]]-(Table2678[[#This Row],[Weight]:[Weight]]*((_xlfn.XMATCH(Table2678[[#This Row],[2]],Table2678[[#This Row],[1]:[11]],0))-1)/(COUNTA(Table2678[[#This Row],[1]:[11]])-COUNTBLANK(Table2678[[#This Row],[1]:[11]])-1)))</f>
        <v>0</v>
      </c>
      <c r="AA26" s="30" cm="1">
        <f t="array" ref="AA26">IF(Table2678[[#This Row],[3]]="","",Table2678[[#This Row],[Weight]:[Weight]]-(Table2678[[#This Row],[Weight]:[Weight]]*((_xlfn.XMATCH(Table2678[[#This Row],[3]],Table2678[[#This Row],[1]:[11]],0))-1)/(COUNTA(Table2678[[#This Row],[1]:[11]])-COUNTBLANK(Table2678[[#This Row],[1]:[11]])-1)))</f>
        <v>0</v>
      </c>
      <c r="AB26" s="30" t="str" cm="1">
        <f t="array" ref="AB26">IF(Table2678[[#This Row],[4]]="","",Table2678[[#This Row],[Weight]:[Weight]]-(Table2678[[#This Row],[Weight]:[Weight]]*((_xlfn.XMATCH(Table2678[[#This Row],[4]],Table2678[[#This Row],[1]:[11]],0))-1)/(COUNTA(Table2678[[#This Row],[1]:[11]])-COUNTBLANK(Table2678[[#This Row],[1]:[11]])-1)))</f>
        <v/>
      </c>
      <c r="AC26" s="30" t="str" cm="1">
        <f t="array" ref="AC26">IF(Table2678[[#This Row],[5]]="","",Table2678[[#This Row],[Weight]:[Weight]]-(Table2678[[#This Row],[Weight]:[Weight]]*((_xlfn.XMATCH(Table2678[[#This Row],[5]],Table2678[[#This Row],[1]:[11]],0))-1)/(COUNTA(Table2678[[#This Row],[1]:[11]])-COUNTBLANK(Table2678[[#This Row],[1]:[11]])-1)))</f>
        <v/>
      </c>
      <c r="AD26" s="30" t="str" cm="1">
        <f t="array" ref="AD26">IF(Table2678[[#This Row],[6]]="","",Table2678[[#This Row],[Weight]:[Weight]]-(Table2678[[#This Row],[Weight]:[Weight]]*((_xlfn.XMATCH(Table2678[[#This Row],[6]],Table2678[[#This Row],[1]:[11]],0))-1)/(COUNTA(Table2678[[#This Row],[1]:[11]])-COUNTBLANK(Table2678[[#This Row],[1]:[11]])-1)))</f>
        <v/>
      </c>
      <c r="AE26" s="30" t="str" cm="1">
        <f t="array" ref="AE26">IF(Table2678[[#This Row],[7]]="","",Table2678[[#This Row],[Weight]:[Weight]]-(Table2678[[#This Row],[Weight]:[Weight]]*((_xlfn.XMATCH(Table2678[[#This Row],[7]],Table2678[[#This Row],[1]:[11]],0))-1)/(COUNTA(Table2678[[#This Row],[1]:[11]])-COUNTBLANK(Table2678[[#This Row],[1]:[11]])-1)))</f>
        <v/>
      </c>
      <c r="AF26" s="30" t="str" cm="1">
        <f t="array" ref="AF26">IF(Table2678[[#This Row],[8]]="","",Table2678[[#This Row],[Weight]:[Weight]]-(Table2678[[#This Row],[Weight]:[Weight]]*((_xlfn.XMATCH(Table2678[[#This Row],[8]],Table2678[[#This Row],[1]:[11]],0))-1)/(COUNTA(Table2678[[#This Row],[1]:[11]])-COUNTBLANK(Table2678[[#This Row],[1]:[11]])-1)))</f>
        <v/>
      </c>
      <c r="AG26" s="30" t="str" cm="1">
        <f t="array" ref="AG26">IF(Table2678[[#This Row],[9]]="","",Table2678[[#This Row],[Weight]:[Weight]]-(Table2678[[#This Row],[Weight]:[Weight]]*((_xlfn.XMATCH(Table2678[[#This Row],[9]],Table2678[[#This Row],[1]:[11]],0))-1)/(COUNTA(Table2678[[#This Row],[1]:[11]])-COUNTBLANK(Table2678[[#This Row],[1]:[11]])-1)))</f>
        <v/>
      </c>
      <c r="AH26" s="30" t="str" cm="1">
        <f t="array" ref="AH26">IF(Table2678[[#This Row],[10]]="","",Table2678[[#This Row],[Weight]:[Weight]]-(Table2678[[#This Row],[Weight]:[Weight]]*((_xlfn.XMATCH(Table2678[[#This Row],[10]],Table2678[[#This Row],[1]:[11]],0))-1)/(COUNTA(Table2678[[#This Row],[1]:[11]])-COUNTBLANK(Table2678[[#This Row],[1]:[11]])-1)))</f>
        <v/>
      </c>
      <c r="AI26" s="30" t="str" cm="1">
        <f t="array" ref="AI26">IF(Table2678[[#This Row],[11]]="","",Table2678[[#This Row],[Weight]:[Weight]]-(Table2678[[#This Row],[Weight]:[Weight]]*((_xlfn.XMATCH(Table2678[[#This Row],[11]],Table2678[[#This Row],[1]:[11]],0))-1)/(COUNTA(Table2678[[#This Row],[1]:[11]])-COUNTBLANK(Table2678[[#This Row],[1]:[11]])-1)))</f>
        <v/>
      </c>
    </row>
    <row r="27" spans="1:35" ht="36" x14ac:dyDescent="0.2">
      <c r="A27" s="20">
        <v>13</v>
      </c>
      <c r="B27" s="28" t="s">
        <v>585</v>
      </c>
      <c r="C27" s="28" t="s">
        <v>586</v>
      </c>
      <c r="D27" s="28" t="s">
        <v>587</v>
      </c>
      <c r="E27" s="28" t="s">
        <v>588</v>
      </c>
      <c r="F27" s="22" t="s">
        <v>60</v>
      </c>
      <c r="G27" s="23" cm="1">
        <f t="array" ref="G27">_xlfn.IFS(F27="","",F27="No interest",0,F27="Nice to have",1,F27="Useful",2,F27="Important",3,F27="Very important",4,F27="Critical",5,F27="Show stopper",6)</f>
        <v>6</v>
      </c>
      <c r="H27" s="24">
        <f t="shared" si="1"/>
        <v>0</v>
      </c>
      <c r="I27" s="25" t="s">
        <v>589</v>
      </c>
      <c r="J27" s="37" t="str" cm="1">
        <f t="array" ref="J27">_xlfn.TEXTJOIN(" "&amp;CHAR(10),,TEXT(SUBSTITUTE(Table2678[[#This Row],[12]:[22]],".",","),"0,00%"))</f>
        <v>0,00% 
0,00% 
0,00%</v>
      </c>
      <c r="K27" s="26" t="s">
        <v>590</v>
      </c>
      <c r="L27" s="27">
        <f>H27-(H27*((MATCH(Table2678[[#This Row],[Evaluators Response (SELECT)]],Table2678[[#This Row],[1]:[11]],0)-1)/(COUNTA(Table2678[[#This Row],[1]:[11]])-COUNTBLANK(Table2678[[#This Row],[1]:[11]])-1)))</f>
        <v>0</v>
      </c>
      <c r="M27" s="28"/>
      <c r="N27" s="41" t="str" cm="1">
        <f t="array" ref="N27">IFERROR(INDEX(_xlfn.UNIQUE(TRIM(_xlfn.TEXTSPLIT(Table2678[[#This Row],[Selection Options]:[Selection Options]],","))),,N$11),"")</f>
        <v>M</v>
      </c>
      <c r="O27" s="41" t="str" cm="1">
        <f t="array" ref="O27">IFERROR(INDEX(_xlfn.UNIQUE(TRIM(_xlfn.TEXTSPLIT(Table2678[[#This Row],[Selection Options]],","))),,O$11),"")</f>
        <v>N</v>
      </c>
      <c r="P27" s="41" t="str" cm="1">
        <f t="array" ref="P27">IFERROR(INDEX(_xlfn.UNIQUE(TRIM(_xlfn.TEXTSPLIT(Table2678[[#This Row],[Selection Options]],","))),,P$11),"")</f>
        <v>P</v>
      </c>
      <c r="Q27" s="41" t="str" cm="1">
        <f t="array" ref="Q27">IFERROR(INDEX(_xlfn.UNIQUE(TRIM(_xlfn.TEXTSPLIT(Table2678[[#This Row],[Selection Options]],","))),,Q$11),"")</f>
        <v/>
      </c>
      <c r="R27" s="42" t="str" cm="1">
        <f t="array" ref="R27">IFERROR(INDEX(_xlfn.UNIQUE(TRIM(_xlfn.TEXTSPLIT(Table2678[[#This Row],[Selection Options]],","))),,R$11),"")</f>
        <v/>
      </c>
      <c r="S27" s="41" t="str" cm="1">
        <f t="array" ref="S27">IFERROR(INDEX(_xlfn.UNIQUE(TRIM(_xlfn.TEXTSPLIT(Table2678[[#This Row],[Selection Options]],","))),,S$11),"")</f>
        <v/>
      </c>
      <c r="T27" s="41" t="str" cm="1">
        <f t="array" ref="T27">IFERROR(INDEX(_xlfn.UNIQUE(TRIM(_xlfn.TEXTSPLIT(Table2678[[#This Row],[Selection Options]],","))),,T$11),"")</f>
        <v/>
      </c>
      <c r="U27" s="41" t="str" cm="1">
        <f t="array" ref="U27">IFERROR(INDEX(_xlfn.UNIQUE(TRIM(_xlfn.TEXTSPLIT(Table2678[[#This Row],[Selection Options]],","))),,U$11),"")</f>
        <v/>
      </c>
      <c r="V27" s="41" t="str" cm="1">
        <f t="array" ref="V27">IFERROR(INDEX(_xlfn.UNIQUE(TRIM(_xlfn.TEXTSPLIT(Table2678[[#This Row],[Selection Options]],","))),,V$11),"")</f>
        <v/>
      </c>
      <c r="W27" s="41" t="str" cm="1">
        <f t="array" ref="W27">IFERROR(INDEX(_xlfn.UNIQUE(TRIM(_xlfn.TEXTSPLIT(Table2678[[#This Row],[Selection Options]],","))),,W$11),"")</f>
        <v/>
      </c>
      <c r="X27" s="41" t="str" cm="1">
        <f t="array" ref="X27">IFERROR(INDEX(_xlfn.UNIQUE(TRIM(_xlfn.TEXTSPLIT(Table2678[[#This Row],[Selection Options]],","))),,X$11),"")</f>
        <v/>
      </c>
      <c r="Y27" s="30" cm="1">
        <f t="array" ref="Y27">IF(Table2678[[#This Row],[1]]="","",Table2678[[#This Row],[Weight]:[Weight]]-(Table2678[[#This Row],[Weight]:[Weight]]*((_xlfn.XMATCH(Table2678[[#This Row],[1]],Table2678[[#This Row],[1]:[11]],0))-1)/(COUNTA(Table2678[[#This Row],[1]:[11]])-COUNTBLANK(Table2678[[#This Row],[1]:[11]])-1)))</f>
        <v>0</v>
      </c>
      <c r="Z27" s="30" cm="1">
        <f t="array" ref="Z27">IF(Table2678[[#This Row],[2]]="","",Table2678[[#This Row],[Weight]:[Weight]]-(Table2678[[#This Row],[Weight]:[Weight]]*((_xlfn.XMATCH(Table2678[[#This Row],[2]],Table2678[[#This Row],[1]:[11]],0))-1)/(COUNTA(Table2678[[#This Row],[1]:[11]])-COUNTBLANK(Table2678[[#This Row],[1]:[11]])-1)))</f>
        <v>0</v>
      </c>
      <c r="AA27" s="30" cm="1">
        <f t="array" ref="AA27">IF(Table2678[[#This Row],[3]]="","",Table2678[[#This Row],[Weight]:[Weight]]-(Table2678[[#This Row],[Weight]:[Weight]]*((_xlfn.XMATCH(Table2678[[#This Row],[3]],Table2678[[#This Row],[1]:[11]],0))-1)/(COUNTA(Table2678[[#This Row],[1]:[11]])-COUNTBLANK(Table2678[[#This Row],[1]:[11]])-1)))</f>
        <v>0</v>
      </c>
      <c r="AB27" s="30" t="str" cm="1">
        <f t="array" ref="AB27">IF(Table2678[[#This Row],[4]]="","",Table2678[[#This Row],[Weight]:[Weight]]-(Table2678[[#This Row],[Weight]:[Weight]]*((_xlfn.XMATCH(Table2678[[#This Row],[4]],Table2678[[#This Row],[1]:[11]],0))-1)/(COUNTA(Table2678[[#This Row],[1]:[11]])-COUNTBLANK(Table2678[[#This Row],[1]:[11]])-1)))</f>
        <v/>
      </c>
      <c r="AC27" s="30" t="str" cm="1">
        <f t="array" ref="AC27">IF(Table2678[[#This Row],[5]]="","",Table2678[[#This Row],[Weight]:[Weight]]-(Table2678[[#This Row],[Weight]:[Weight]]*((_xlfn.XMATCH(Table2678[[#This Row],[5]],Table2678[[#This Row],[1]:[11]],0))-1)/(COUNTA(Table2678[[#This Row],[1]:[11]])-COUNTBLANK(Table2678[[#This Row],[1]:[11]])-1)))</f>
        <v/>
      </c>
      <c r="AD27" s="30" t="str" cm="1">
        <f t="array" ref="AD27">IF(Table2678[[#This Row],[6]]="","",Table2678[[#This Row],[Weight]:[Weight]]-(Table2678[[#This Row],[Weight]:[Weight]]*((_xlfn.XMATCH(Table2678[[#This Row],[6]],Table2678[[#This Row],[1]:[11]],0))-1)/(COUNTA(Table2678[[#This Row],[1]:[11]])-COUNTBLANK(Table2678[[#This Row],[1]:[11]])-1)))</f>
        <v/>
      </c>
      <c r="AE27" s="30" t="str" cm="1">
        <f t="array" ref="AE27">IF(Table2678[[#This Row],[7]]="","",Table2678[[#This Row],[Weight]:[Weight]]-(Table2678[[#This Row],[Weight]:[Weight]]*((_xlfn.XMATCH(Table2678[[#This Row],[7]],Table2678[[#This Row],[1]:[11]],0))-1)/(COUNTA(Table2678[[#This Row],[1]:[11]])-COUNTBLANK(Table2678[[#This Row],[1]:[11]])-1)))</f>
        <v/>
      </c>
      <c r="AF27" s="30" t="str" cm="1">
        <f t="array" ref="AF27">IF(Table2678[[#This Row],[8]]="","",Table2678[[#This Row],[Weight]:[Weight]]-(Table2678[[#This Row],[Weight]:[Weight]]*((_xlfn.XMATCH(Table2678[[#This Row],[8]],Table2678[[#This Row],[1]:[11]],0))-1)/(COUNTA(Table2678[[#This Row],[1]:[11]])-COUNTBLANK(Table2678[[#This Row],[1]:[11]])-1)))</f>
        <v/>
      </c>
      <c r="AG27" s="41" t="str" cm="1">
        <f t="array" ref="AG27">IF(Table2678[[#This Row],[9]]="","",Table2678[[#This Row],[Weight]:[Weight]]-(Table2678[[#This Row],[Weight]:[Weight]]*((_xlfn.XMATCH(Table2678[[#This Row],[9]],Table2678[[#This Row],[1]:[11]],0))-1)/(COUNTA(Table2678[[#This Row],[1]:[11]])-COUNTBLANK(Table2678[[#This Row],[1]:[11]])-1)))</f>
        <v/>
      </c>
      <c r="AH27" s="41" t="str" cm="1">
        <f t="array" ref="AH27">IF(Table2678[[#This Row],[10]]="","",Table2678[[#This Row],[Weight]:[Weight]]-(Table2678[[#This Row],[Weight]:[Weight]]*((_xlfn.XMATCH(Table2678[[#This Row],[10]],Table2678[[#This Row],[1]:[11]],0))-1)/(COUNTA(Table2678[[#This Row],[1]:[11]])-COUNTBLANK(Table2678[[#This Row],[1]:[11]])-1)))</f>
        <v/>
      </c>
      <c r="AI27" s="41" t="str" cm="1">
        <f t="array" ref="AI27">IF(Table2678[[#This Row],[11]]="","",Table2678[[#This Row],[Weight]:[Weight]]-(Table2678[[#This Row],[Weight]:[Weight]]*((_xlfn.XMATCH(Table2678[[#This Row],[11]],Table2678[[#This Row],[1]:[11]],0))-1)/(COUNTA(Table2678[[#This Row],[1]:[11]])-COUNTBLANK(Table2678[[#This Row],[1]:[11]])-1)))</f>
        <v/>
      </c>
    </row>
    <row r="28" spans="1:35" ht="24" x14ac:dyDescent="0.2">
      <c r="A28" s="32">
        <v>14</v>
      </c>
      <c r="B28" s="40" t="s">
        <v>542</v>
      </c>
      <c r="C28" s="40" t="s">
        <v>591</v>
      </c>
      <c r="D28" s="40" t="s">
        <v>592</v>
      </c>
      <c r="E28" s="40" t="s">
        <v>593</v>
      </c>
      <c r="F28" s="34" t="s">
        <v>56</v>
      </c>
      <c r="G28" s="35" cm="1">
        <f t="array" ref="G28">_xlfn.IFS(F28="","",F28="No interest",0,F28="Nice to have",1,F28="Useful",2,F28="Important",3,F28="Very important",4,F28="Critical",5,F28="Show stopper",6)</f>
        <v>3</v>
      </c>
      <c r="H28" s="36">
        <f t="shared" si="1"/>
        <v>0</v>
      </c>
      <c r="I28" s="37" t="s">
        <v>594</v>
      </c>
      <c r="J28" s="37" t="str" cm="1">
        <f t="array" ref="J28">_xlfn.TEXTJOIN(" "&amp;CHAR(10),,TEXT(SUBSTITUTE(Table2678[[#This Row],[12]:[22]],".",","),"0,00%"))</f>
        <v>0,00% 
0,00%</v>
      </c>
      <c r="K28" s="38" t="s">
        <v>595</v>
      </c>
      <c r="L28" s="39">
        <f>H28-(H28*((MATCH(Table2678[[#This Row],[Evaluators Response (SELECT)]],Table2678[[#This Row],[1]:[11]],0)-1)/(COUNTA(Table2678[[#This Row],[1]:[11]])-COUNTBLANK(Table2678[[#This Row],[1]:[11]])-1)))</f>
        <v>0</v>
      </c>
      <c r="M28" s="40"/>
      <c r="N28" s="29" t="str" cm="1">
        <f t="array" ref="N28">IFERROR(INDEX(_xlfn.UNIQUE(TRIM(_xlfn.TEXTSPLIT(Table2678[[#This Row],[Selection Options]:[Selection Options]],","))),,N$11),"")</f>
        <v>Y</v>
      </c>
      <c r="O28" s="29" t="str" cm="1">
        <f t="array" ref="O28">IFERROR(INDEX(_xlfn.UNIQUE(TRIM(_xlfn.TEXTSPLIT(Table2678[[#This Row],[Selection Options]:[Selection Options]],","))),,O$11),"")</f>
        <v>N</v>
      </c>
      <c r="P28" s="29" t="str" cm="1">
        <f t="array" ref="P28">IFERROR(INDEX(_xlfn.UNIQUE(TRIM(_xlfn.TEXTSPLIT(Table2678[[#This Row],[Selection Options]:[Selection Options]],","))),,P$11),"")</f>
        <v/>
      </c>
      <c r="Q28" s="29" t="str" cm="1">
        <f t="array" ref="Q28">IFERROR(INDEX(_xlfn.UNIQUE(TRIM(_xlfn.TEXTSPLIT(Table2678[[#This Row],[Selection Options]:[Selection Options]],","))),,Q$11),"")</f>
        <v/>
      </c>
      <c r="R28" s="29" t="str" cm="1">
        <f t="array" ref="R28">IFERROR(INDEX(_xlfn.UNIQUE(TRIM(_xlfn.TEXTSPLIT(Table2678[[#This Row],[Selection Options]:[Selection Options]],","))),,R$11),"")</f>
        <v/>
      </c>
      <c r="S28" s="29" t="str" cm="1">
        <f t="array" ref="S28">IFERROR(INDEX(_xlfn.UNIQUE(TRIM(_xlfn.TEXTSPLIT(Table2678[[#This Row],[Selection Options]:[Selection Options]],","))),,S$11),"")</f>
        <v/>
      </c>
      <c r="T28" s="29" t="str" cm="1">
        <f t="array" ref="T28">IFERROR(INDEX(_xlfn.UNIQUE(TRIM(_xlfn.TEXTSPLIT(Table2678[[#This Row],[Selection Options]:[Selection Options]],","))),,T$11),"")</f>
        <v/>
      </c>
      <c r="U28" s="29" t="str" cm="1">
        <f t="array" ref="U28">IFERROR(INDEX(_xlfn.UNIQUE(TRIM(_xlfn.TEXTSPLIT(Table2678[[#This Row],[Selection Options]:[Selection Options]],","))),,U$11),"")</f>
        <v/>
      </c>
      <c r="V28" s="29" t="str" cm="1">
        <f t="array" ref="V28">IFERROR(INDEX(_xlfn.UNIQUE(TRIM(_xlfn.TEXTSPLIT(Table2678[[#This Row],[Selection Options]:[Selection Options]],","))),,V$11),"")</f>
        <v/>
      </c>
      <c r="W28" s="29" t="str" cm="1">
        <f t="array" ref="W28">IFERROR(INDEX(_xlfn.UNIQUE(TRIM(_xlfn.TEXTSPLIT(Table2678[[#This Row],[Selection Options]:[Selection Options]],","))),,W$11),"")</f>
        <v/>
      </c>
      <c r="X28" s="29" t="str" cm="1">
        <f t="array" ref="X28">IFERROR(INDEX(_xlfn.UNIQUE(TRIM(_xlfn.TEXTSPLIT(Table2678[[#This Row],[Selection Options]:[Selection Options]],","))),,X$11),"")</f>
        <v/>
      </c>
      <c r="Y28" s="30" cm="1">
        <f t="array" ref="Y28">IF(Table2678[[#This Row],[1]]="","",Table2678[[#This Row],[Weight]:[Weight]]-(Table2678[[#This Row],[Weight]:[Weight]]*((_xlfn.XMATCH(Table2678[[#This Row],[1]],Table2678[[#This Row],[1]:[11]],0))-1)/(COUNTA(Table2678[[#This Row],[1]:[11]])-COUNTBLANK(Table2678[[#This Row],[1]:[11]])-1)))</f>
        <v>0</v>
      </c>
      <c r="Z28" s="30" cm="1">
        <f t="array" ref="Z28">IF(Table2678[[#This Row],[2]]="","",Table2678[[#This Row],[Weight]:[Weight]]-(Table2678[[#This Row],[Weight]:[Weight]]*((_xlfn.XMATCH(Table2678[[#This Row],[2]],Table2678[[#This Row],[1]:[11]],0))-1)/(COUNTA(Table2678[[#This Row],[1]:[11]])-COUNTBLANK(Table2678[[#This Row],[1]:[11]])-1)))</f>
        <v>0</v>
      </c>
      <c r="AA28" s="30" t="str" cm="1">
        <f t="array" ref="AA28">IF(Table2678[[#This Row],[3]]="","",Table2678[[#This Row],[Weight]:[Weight]]-(Table2678[[#This Row],[Weight]:[Weight]]*((_xlfn.XMATCH(Table2678[[#This Row],[3]],Table2678[[#This Row],[1]:[11]],0))-1)/(COUNTA(Table2678[[#This Row],[1]:[11]])-COUNTBLANK(Table2678[[#This Row],[1]:[11]])-1)))</f>
        <v/>
      </c>
      <c r="AB28" s="30" t="str" cm="1">
        <f t="array" ref="AB28">IF(Table2678[[#This Row],[4]]="","",Table2678[[#This Row],[Weight]:[Weight]]-(Table2678[[#This Row],[Weight]:[Weight]]*((_xlfn.XMATCH(Table2678[[#This Row],[4]],Table2678[[#This Row],[1]:[11]],0))-1)/(COUNTA(Table2678[[#This Row],[1]:[11]])-COUNTBLANK(Table2678[[#This Row],[1]:[11]])-1)))</f>
        <v/>
      </c>
      <c r="AC28" s="30" t="str" cm="1">
        <f t="array" ref="AC28">IF(Table2678[[#This Row],[5]]="","",Table2678[[#This Row],[Weight]:[Weight]]-(Table2678[[#This Row],[Weight]:[Weight]]*((_xlfn.XMATCH(Table2678[[#This Row],[5]],Table2678[[#This Row],[1]:[11]],0))-1)/(COUNTA(Table2678[[#This Row],[1]:[11]])-COUNTBLANK(Table2678[[#This Row],[1]:[11]])-1)))</f>
        <v/>
      </c>
      <c r="AD28" s="30" t="str" cm="1">
        <f t="array" ref="AD28">IF(Table2678[[#This Row],[6]]="","",Table2678[[#This Row],[Weight]:[Weight]]-(Table2678[[#This Row],[Weight]:[Weight]]*((_xlfn.XMATCH(Table2678[[#This Row],[6]],Table2678[[#This Row],[1]:[11]],0))-1)/(COUNTA(Table2678[[#This Row],[1]:[11]])-COUNTBLANK(Table2678[[#This Row],[1]:[11]])-1)))</f>
        <v/>
      </c>
      <c r="AE28" s="30" t="str" cm="1">
        <f t="array" ref="AE28">IF(Table2678[[#This Row],[7]]="","",Table2678[[#This Row],[Weight]:[Weight]]-(Table2678[[#This Row],[Weight]:[Weight]]*((_xlfn.XMATCH(Table2678[[#This Row],[7]],Table2678[[#This Row],[1]:[11]],0))-1)/(COUNTA(Table2678[[#This Row],[1]:[11]])-COUNTBLANK(Table2678[[#This Row],[1]:[11]])-1)))</f>
        <v/>
      </c>
      <c r="AF28" s="30" t="str" cm="1">
        <f t="array" ref="AF28">IF(Table2678[[#This Row],[8]]="","",Table2678[[#This Row],[Weight]:[Weight]]-(Table2678[[#This Row],[Weight]:[Weight]]*((_xlfn.XMATCH(Table2678[[#This Row],[8]],Table2678[[#This Row],[1]:[11]],0))-1)/(COUNTA(Table2678[[#This Row],[1]:[11]])-COUNTBLANK(Table2678[[#This Row],[1]:[11]])-1)))</f>
        <v/>
      </c>
      <c r="AG28" s="30" t="str" cm="1">
        <f t="array" ref="AG28">IF(Table2678[[#This Row],[9]]="","",Table2678[[#This Row],[Weight]:[Weight]]-(Table2678[[#This Row],[Weight]:[Weight]]*((_xlfn.XMATCH(Table2678[[#This Row],[9]],Table2678[[#This Row],[1]:[11]],0))-1)/(COUNTA(Table2678[[#This Row],[1]:[11]])-COUNTBLANK(Table2678[[#This Row],[1]:[11]])-1)))</f>
        <v/>
      </c>
      <c r="AH28" s="30" t="str" cm="1">
        <f t="array" ref="AH28">IF(Table2678[[#This Row],[10]]="","",Table2678[[#This Row],[Weight]:[Weight]]-(Table2678[[#This Row],[Weight]:[Weight]]*((_xlfn.XMATCH(Table2678[[#This Row],[10]],Table2678[[#This Row],[1]:[11]],0))-1)/(COUNTA(Table2678[[#This Row],[1]:[11]])-COUNTBLANK(Table2678[[#This Row],[1]:[11]])-1)))</f>
        <v/>
      </c>
      <c r="AI28" s="30" t="str" cm="1">
        <f t="array" ref="AI28">IF(Table2678[[#This Row],[11]]="","",Table2678[[#This Row],[Weight]:[Weight]]-(Table2678[[#This Row],[Weight]:[Weight]]*((_xlfn.XMATCH(Table2678[[#This Row],[11]],Table2678[[#This Row],[1]:[11]],0))-1)/(COUNTA(Table2678[[#This Row],[1]:[11]])-COUNTBLANK(Table2678[[#This Row],[1]:[11]])-1)))</f>
        <v/>
      </c>
    </row>
    <row r="29" spans="1:35" ht="48" x14ac:dyDescent="0.2">
      <c r="A29" s="32">
        <v>15</v>
      </c>
      <c r="B29" s="40" t="s">
        <v>596</v>
      </c>
      <c r="C29" s="40" t="s">
        <v>597</v>
      </c>
      <c r="D29" s="40" t="s">
        <v>598</v>
      </c>
      <c r="E29" s="40" t="s">
        <v>599</v>
      </c>
      <c r="F29" s="34" t="s">
        <v>106</v>
      </c>
      <c r="G29" s="35" cm="1">
        <f t="array" ref="G29">_xlfn.IFS(F29="","",F29="No interest",0,F29="Nice to have",1,F29="Useful",2,F29="Important",3,F29="Very important",4,F29="Critical",5,F29="Show stopper",6)</f>
        <v>5</v>
      </c>
      <c r="H29" s="36">
        <f t="shared" si="1"/>
        <v>0</v>
      </c>
      <c r="I29" s="37" t="s">
        <v>600</v>
      </c>
      <c r="J29" s="37" t="str" cm="1">
        <f t="array" ref="J29">_xlfn.TEXTJOIN(" "&amp;CHAR(10),,TEXT(SUBSTITUTE(Table2678[[#This Row],[12]:[22]],".",","),"0,00%"))</f>
        <v>0,00% 
0,00% 
0,00% 
0,00%</v>
      </c>
      <c r="K29" s="38" t="s">
        <v>570</v>
      </c>
      <c r="L29" s="39">
        <f>H29-(H29*((MATCH(Table2678[[#This Row],[Evaluators Response (SELECT)]],Table2678[[#This Row],[1]:[11]],0)-1)/(COUNTA(Table2678[[#This Row],[1]:[11]])-COUNTBLANK(Table2678[[#This Row],[1]:[11]])-1)))</f>
        <v>0</v>
      </c>
      <c r="M29" s="40"/>
      <c r="N29" s="29" t="str" cm="1">
        <f t="array" ref="N29">IFERROR(INDEX(_xlfn.UNIQUE(TRIM(_xlfn.TEXTSPLIT(Table2678[[#This Row],[Selection Options]:[Selection Options]],","))),,N$11),"")</f>
        <v>X</v>
      </c>
      <c r="O29" s="29" t="str" cm="1">
        <f t="array" ref="O29">IFERROR(INDEX(_xlfn.UNIQUE(TRIM(_xlfn.TEXTSPLIT(Table2678[[#This Row],[Selection Options]],","))),,O$11),"")</f>
        <v>Y</v>
      </c>
      <c r="P29" s="29" t="str" cm="1">
        <f t="array" ref="P29">IFERROR(INDEX(_xlfn.UNIQUE(TRIM(_xlfn.TEXTSPLIT(Table2678[[#This Row],[Selection Options]],","))),,P$11),"")</f>
        <v>Z</v>
      </c>
      <c r="Q29" s="29" t="str" cm="1">
        <f t="array" ref="Q29">IFERROR(INDEX(_xlfn.UNIQUE(TRIM(_xlfn.TEXTSPLIT(Table2678[[#This Row],[Selection Options]],","))),,Q$11),"")</f>
        <v>A</v>
      </c>
      <c r="R29" s="43" t="str" cm="1">
        <f t="array" ref="R29">IFERROR(INDEX(_xlfn.UNIQUE(TRIM(_xlfn.TEXTSPLIT(Table2678[[#This Row],[Selection Options]],","))),,R$11),"")</f>
        <v/>
      </c>
      <c r="S29" s="29" t="str" cm="1">
        <f t="array" ref="S29">IFERROR(INDEX(_xlfn.UNIQUE(TRIM(_xlfn.TEXTSPLIT(Table2678[[#This Row],[Selection Options]],","))),,S$11),"")</f>
        <v/>
      </c>
      <c r="T29" s="29" t="str" cm="1">
        <f t="array" ref="T29">IFERROR(INDEX(_xlfn.UNIQUE(TRIM(_xlfn.TEXTSPLIT(Table2678[[#This Row],[Selection Options]],","))),,T$11),"")</f>
        <v/>
      </c>
      <c r="U29" s="29" t="str" cm="1">
        <f t="array" ref="U29">IFERROR(INDEX(_xlfn.UNIQUE(TRIM(_xlfn.TEXTSPLIT(Table2678[[#This Row],[Selection Options]],","))),,U$11),"")</f>
        <v/>
      </c>
      <c r="V29" s="29" t="str" cm="1">
        <f t="array" ref="V29">IFERROR(INDEX(_xlfn.UNIQUE(TRIM(_xlfn.TEXTSPLIT(Table2678[[#This Row],[Selection Options]],","))),,V$11),"")</f>
        <v/>
      </c>
      <c r="W29" s="29" t="str" cm="1">
        <f t="array" ref="W29">IFERROR(INDEX(_xlfn.UNIQUE(TRIM(_xlfn.TEXTSPLIT(Table2678[[#This Row],[Selection Options]],","))),,W$11),"")</f>
        <v/>
      </c>
      <c r="X29" s="29" t="str" cm="1">
        <f t="array" ref="X29">IFERROR(INDEX(_xlfn.UNIQUE(TRIM(_xlfn.TEXTSPLIT(Table2678[[#This Row],[Selection Options]],","))),,X$11),"")</f>
        <v/>
      </c>
      <c r="Y29" s="30" cm="1">
        <f t="array" ref="Y29">IF(Table2678[[#This Row],[1]]="","",Table2678[[#This Row],[Weight]:[Weight]]-(Table2678[[#This Row],[Weight]:[Weight]]*((_xlfn.XMATCH(Table2678[[#This Row],[1]],Table2678[[#This Row],[1]:[11]],0))-1)/(COUNTA(Table2678[[#This Row],[1]:[11]])-COUNTBLANK(Table2678[[#This Row],[1]:[11]])-1)))</f>
        <v>0</v>
      </c>
      <c r="Z29" s="30" cm="1">
        <f t="array" ref="Z29">IF(Table2678[[#This Row],[2]]="","",Table2678[[#This Row],[Weight]:[Weight]]-(Table2678[[#This Row],[Weight]:[Weight]]*((_xlfn.XMATCH(Table2678[[#This Row],[2]],Table2678[[#This Row],[1]:[11]],0))-1)/(COUNTA(Table2678[[#This Row],[1]:[11]])-COUNTBLANK(Table2678[[#This Row],[1]:[11]])-1)))</f>
        <v>0</v>
      </c>
      <c r="AA29" s="30" cm="1">
        <f t="array" ref="AA29">IF(Table2678[[#This Row],[3]]="","",Table2678[[#This Row],[Weight]:[Weight]]-(Table2678[[#This Row],[Weight]:[Weight]]*((_xlfn.XMATCH(Table2678[[#This Row],[3]],Table2678[[#This Row],[1]:[11]],0))-1)/(COUNTA(Table2678[[#This Row],[1]:[11]])-COUNTBLANK(Table2678[[#This Row],[1]:[11]])-1)))</f>
        <v>0</v>
      </c>
      <c r="AB29" s="30" cm="1">
        <f t="array" ref="AB29">IF(Table2678[[#This Row],[4]]="","",Table2678[[#This Row],[Weight]:[Weight]]-(Table2678[[#This Row],[Weight]:[Weight]]*((_xlfn.XMATCH(Table2678[[#This Row],[4]],Table2678[[#This Row],[1]:[11]],0))-1)/(COUNTA(Table2678[[#This Row],[1]:[11]])-COUNTBLANK(Table2678[[#This Row],[1]:[11]])-1)))</f>
        <v>0</v>
      </c>
      <c r="AC29" s="30" t="str" cm="1">
        <f t="array" ref="AC29">IF(Table2678[[#This Row],[5]]="","",Table2678[[#This Row],[Weight]:[Weight]]-(Table2678[[#This Row],[Weight]:[Weight]]*((_xlfn.XMATCH(Table2678[[#This Row],[5]],Table2678[[#This Row],[1]:[11]],0))-1)/(COUNTA(Table2678[[#This Row],[1]:[11]])-COUNTBLANK(Table2678[[#This Row],[1]:[11]])-1)))</f>
        <v/>
      </c>
      <c r="AD29" s="30" t="str" cm="1">
        <f t="array" ref="AD29">IF(Table2678[[#This Row],[6]]="","",Table2678[[#This Row],[Weight]:[Weight]]-(Table2678[[#This Row],[Weight]:[Weight]]*((_xlfn.XMATCH(Table2678[[#This Row],[6]],Table2678[[#This Row],[1]:[11]],0))-1)/(COUNTA(Table2678[[#This Row],[1]:[11]])-COUNTBLANK(Table2678[[#This Row],[1]:[11]])-1)))</f>
        <v/>
      </c>
      <c r="AE29" s="30" t="str" cm="1">
        <f t="array" ref="AE29">IF(Table2678[[#This Row],[7]]="","",Table2678[[#This Row],[Weight]:[Weight]]-(Table2678[[#This Row],[Weight]:[Weight]]*((_xlfn.XMATCH(Table2678[[#This Row],[7]],Table2678[[#This Row],[1]:[11]],0))-1)/(COUNTA(Table2678[[#This Row],[1]:[11]])-COUNTBLANK(Table2678[[#This Row],[1]:[11]])-1)))</f>
        <v/>
      </c>
      <c r="AF29" s="30" t="str" cm="1">
        <f t="array" ref="AF29">IF(Table2678[[#This Row],[8]]="","",Table2678[[#This Row],[Weight]:[Weight]]-(Table2678[[#This Row],[Weight]:[Weight]]*((_xlfn.XMATCH(Table2678[[#This Row],[8]],Table2678[[#This Row],[1]:[11]],0))-1)/(COUNTA(Table2678[[#This Row],[1]:[11]])-COUNTBLANK(Table2678[[#This Row],[1]:[11]])-1)))</f>
        <v/>
      </c>
      <c r="AG29" s="30" t="str" cm="1">
        <f t="array" ref="AG29">IF(Table2678[[#This Row],[9]]="","",Table2678[[#This Row],[Weight]:[Weight]]-(Table2678[[#This Row],[Weight]:[Weight]]*((_xlfn.XMATCH(Table2678[[#This Row],[9]],Table2678[[#This Row],[1]:[11]],0))-1)/(COUNTA(Table2678[[#This Row],[1]:[11]])-COUNTBLANK(Table2678[[#This Row],[1]:[11]])-1)))</f>
        <v/>
      </c>
      <c r="AH29" s="30" t="str" cm="1">
        <f t="array" ref="AH29">IF(Table2678[[#This Row],[10]]="","",Table2678[[#This Row],[Weight]:[Weight]]-(Table2678[[#This Row],[Weight]:[Weight]]*((_xlfn.XMATCH(Table2678[[#This Row],[10]],Table2678[[#This Row],[1]:[11]],0))-1)/(COUNTA(Table2678[[#This Row],[1]:[11]])-COUNTBLANK(Table2678[[#This Row],[1]:[11]])-1)))</f>
        <v/>
      </c>
      <c r="AI29" s="30" t="str" cm="1">
        <f t="array" ref="AI29">IF(Table2678[[#This Row],[11]]="","",Table2678[[#This Row],[Weight]:[Weight]]-(Table2678[[#This Row],[Weight]:[Weight]]*((_xlfn.XMATCH(Table2678[[#This Row],[11]],Table2678[[#This Row],[1]:[11]],0))-1)/(COUNTA(Table2678[[#This Row],[1]:[11]])-COUNTBLANK(Table2678[[#This Row],[1]:[11]])-1)))</f>
        <v/>
      </c>
    </row>
    <row r="30" spans="1:35" ht="48" x14ac:dyDescent="0.2">
      <c r="A30" s="32">
        <v>16</v>
      </c>
      <c r="B30" s="40" t="s">
        <v>601</v>
      </c>
      <c r="C30" s="40" t="s">
        <v>602</v>
      </c>
      <c r="D30" s="40" t="s">
        <v>603</v>
      </c>
      <c r="E30" s="40" t="s">
        <v>604</v>
      </c>
      <c r="F30" s="34" t="s">
        <v>106</v>
      </c>
      <c r="G30" s="35" cm="1">
        <f t="array" ref="G30">_xlfn.IFS(F30="","",F30="No interest",0,F30="Nice to have",1,F30="Useful",2,F30="Important",3,F30="Very important",4,F30="Critical",5,F30="Show stopper",6)</f>
        <v>5</v>
      </c>
      <c r="H30" s="36">
        <f t="shared" si="1"/>
        <v>0</v>
      </c>
      <c r="I30" s="37" t="s">
        <v>605</v>
      </c>
      <c r="J30" s="37" t="str" cm="1">
        <f t="array" ref="J30">_xlfn.TEXTJOIN(" "&amp;CHAR(10),,TEXT(SUBSTITUTE(Table2678[[#This Row],[12]:[22]],".",","),"0,00%"))</f>
        <v>0,00% 
0,00% 
0,00% 
0,00%</v>
      </c>
      <c r="K30" s="38" t="s">
        <v>606</v>
      </c>
      <c r="L30" s="39">
        <f>H30-(H30*((MATCH(Table2678[[#This Row],[Evaluators Response (SELECT)]],Table2678[[#This Row],[1]:[11]],0)-1)/(COUNTA(Table2678[[#This Row],[1]:[11]])-COUNTBLANK(Table2678[[#This Row],[1]:[11]])-1)))</f>
        <v>0</v>
      </c>
      <c r="M30" s="40"/>
      <c r="N30" s="29" t="str" cm="1">
        <f t="array" ref="N30">IFERROR(INDEX(_xlfn.UNIQUE(TRIM(_xlfn.TEXTSPLIT(Table2678[[#This Row],[Selection Options]:[Selection Options]],","))),,N$11),"")</f>
        <v>A</v>
      </c>
      <c r="O30" s="29" t="str" cm="1">
        <f t="array" ref="O30">IFERROR(INDEX(_xlfn.UNIQUE(TRIM(_xlfn.TEXTSPLIT(Table2678[[#This Row],[Selection Options]],","))),,O$11),"")</f>
        <v>B</v>
      </c>
      <c r="P30" s="29" t="str" cm="1">
        <f t="array" ref="P30">IFERROR(INDEX(_xlfn.UNIQUE(TRIM(_xlfn.TEXTSPLIT(Table2678[[#This Row],[Selection Options]],","))),,P$11),"")</f>
        <v>X</v>
      </c>
      <c r="Q30" s="29" t="str" cm="1">
        <f t="array" ref="Q30">IFERROR(INDEX(_xlfn.UNIQUE(TRIM(_xlfn.TEXTSPLIT(Table2678[[#This Row],[Selection Options]],","))),,Q$11),"")</f>
        <v>Y</v>
      </c>
      <c r="R30" s="43" t="str" cm="1">
        <f t="array" ref="R30">IFERROR(INDEX(_xlfn.UNIQUE(TRIM(_xlfn.TEXTSPLIT(Table2678[[#This Row],[Selection Options]],","))),,R$11),"")</f>
        <v/>
      </c>
      <c r="S30" s="29" t="str" cm="1">
        <f t="array" ref="S30">IFERROR(INDEX(_xlfn.UNIQUE(TRIM(_xlfn.TEXTSPLIT(Table2678[[#This Row],[Selection Options]],","))),,S$11),"")</f>
        <v/>
      </c>
      <c r="T30" s="29" t="str" cm="1">
        <f t="array" ref="T30">IFERROR(INDEX(_xlfn.UNIQUE(TRIM(_xlfn.TEXTSPLIT(Table2678[[#This Row],[Selection Options]],","))),,T$11),"")</f>
        <v/>
      </c>
      <c r="U30" s="29" t="str" cm="1">
        <f t="array" ref="U30">IFERROR(INDEX(_xlfn.UNIQUE(TRIM(_xlfn.TEXTSPLIT(Table2678[[#This Row],[Selection Options]],","))),,U$11),"")</f>
        <v/>
      </c>
      <c r="V30" s="29" t="str" cm="1">
        <f t="array" ref="V30">IFERROR(INDEX(_xlfn.UNIQUE(TRIM(_xlfn.TEXTSPLIT(Table2678[[#This Row],[Selection Options]],","))),,V$11),"")</f>
        <v/>
      </c>
      <c r="W30" s="29" t="str" cm="1">
        <f t="array" ref="W30">IFERROR(INDEX(_xlfn.UNIQUE(TRIM(_xlfn.TEXTSPLIT(Table2678[[#This Row],[Selection Options]],","))),,W$11),"")</f>
        <v/>
      </c>
      <c r="X30" s="29" t="str" cm="1">
        <f t="array" ref="X30">IFERROR(INDEX(_xlfn.UNIQUE(TRIM(_xlfn.TEXTSPLIT(Table2678[[#This Row],[Selection Options]],","))),,X$11),"")</f>
        <v/>
      </c>
      <c r="Y30" s="44" cm="1">
        <f t="array" ref="Y30">IF(Table2678[[#This Row],[1]]="","",Table2678[[#This Row],[Weight]:[Weight]]-(Table2678[[#This Row],[Weight]:[Weight]]*((_xlfn.XMATCH(Table2678[[#This Row],[1]],Table2678[[#This Row],[1]:[11]],0))-1)/(COUNTA(Table2678[[#This Row],[1]:[11]])-COUNTBLANK(Table2678[[#This Row],[1]:[11]])-1)))</f>
        <v>0</v>
      </c>
      <c r="Z30" s="44" cm="1">
        <f t="array" ref="Z30">IF(Table2678[[#This Row],[2]]="","",Table2678[[#This Row],[Weight]:[Weight]]-(Table2678[[#This Row],[Weight]:[Weight]]*((_xlfn.XMATCH(Table2678[[#This Row],[2]],Table2678[[#This Row],[1]:[11]],0))-1)/(COUNTA(Table2678[[#This Row],[1]:[11]])-COUNTBLANK(Table2678[[#This Row],[1]:[11]])-1)))</f>
        <v>0</v>
      </c>
      <c r="AA30" s="44" cm="1">
        <f t="array" ref="AA30">IF(Table2678[[#This Row],[3]]="","",Table2678[[#This Row],[Weight]:[Weight]]-(Table2678[[#This Row],[Weight]:[Weight]]*((_xlfn.XMATCH(Table2678[[#This Row],[3]],Table2678[[#This Row],[1]:[11]],0))-1)/(COUNTA(Table2678[[#This Row],[1]:[11]])-COUNTBLANK(Table2678[[#This Row],[1]:[11]])-1)))</f>
        <v>0</v>
      </c>
      <c r="AB30" s="44" cm="1">
        <f t="array" ref="AB30">IF(Table2678[[#This Row],[4]]="","",Table2678[[#This Row],[Weight]:[Weight]]-(Table2678[[#This Row],[Weight]:[Weight]]*((_xlfn.XMATCH(Table2678[[#This Row],[4]],Table2678[[#This Row],[1]:[11]],0))-1)/(COUNTA(Table2678[[#This Row],[1]:[11]])-COUNTBLANK(Table2678[[#This Row],[1]:[11]])-1)))</f>
        <v>0</v>
      </c>
      <c r="AC30" s="44" t="str" cm="1">
        <f t="array" ref="AC30">IF(Table2678[[#This Row],[5]]="","",Table2678[[#This Row],[Weight]:[Weight]]-(Table2678[[#This Row],[Weight]:[Weight]]*((_xlfn.XMATCH(Table2678[[#This Row],[5]],Table2678[[#This Row],[1]:[11]],0))-1)/(COUNTA(Table2678[[#This Row],[1]:[11]])-COUNTBLANK(Table2678[[#This Row],[1]:[11]])-1)))</f>
        <v/>
      </c>
      <c r="AD30" s="44" t="str" cm="1">
        <f t="array" ref="AD30">IF(Table2678[[#This Row],[6]]="","",Table2678[[#This Row],[Weight]:[Weight]]-(Table2678[[#This Row],[Weight]:[Weight]]*((_xlfn.XMATCH(Table2678[[#This Row],[6]],Table2678[[#This Row],[1]:[11]],0))-1)/(COUNTA(Table2678[[#This Row],[1]:[11]])-COUNTBLANK(Table2678[[#This Row],[1]:[11]])-1)))</f>
        <v/>
      </c>
      <c r="AE30" s="44" t="str" cm="1">
        <f t="array" ref="AE30">IF(Table2678[[#This Row],[7]]="","",Table2678[[#This Row],[Weight]:[Weight]]-(Table2678[[#This Row],[Weight]:[Weight]]*((_xlfn.XMATCH(Table2678[[#This Row],[7]],Table2678[[#This Row],[1]:[11]],0))-1)/(COUNTA(Table2678[[#This Row],[1]:[11]])-COUNTBLANK(Table2678[[#This Row],[1]:[11]])-1)))</f>
        <v/>
      </c>
      <c r="AF30" s="44" t="str" cm="1">
        <f t="array" ref="AF30">IF(Table2678[[#This Row],[8]]="","",Table2678[[#This Row],[Weight]:[Weight]]-(Table2678[[#This Row],[Weight]:[Weight]]*((_xlfn.XMATCH(Table2678[[#This Row],[8]],Table2678[[#This Row],[1]:[11]],0))-1)/(COUNTA(Table2678[[#This Row],[1]:[11]])-COUNTBLANK(Table2678[[#This Row],[1]:[11]])-1)))</f>
        <v/>
      </c>
      <c r="AG30" s="29" t="str" cm="1">
        <f t="array" ref="AG30">IF(Table2678[[#This Row],[9]]="","",Table2678[[#This Row],[Weight]:[Weight]]-(Table2678[[#This Row],[Weight]:[Weight]]*((_xlfn.XMATCH(Table2678[[#This Row],[9]],Table2678[[#This Row],[1]:[11]],0))-1)/(COUNTA(Table2678[[#This Row],[1]:[11]])-COUNTBLANK(Table2678[[#This Row],[1]:[11]])-1)))</f>
        <v/>
      </c>
      <c r="AH30" s="29" t="str" cm="1">
        <f t="array" ref="AH30">IF(Table2678[[#This Row],[10]]="","",Table2678[[#This Row],[Weight]:[Weight]]-(Table2678[[#This Row],[Weight]:[Weight]]*((_xlfn.XMATCH(Table2678[[#This Row],[10]],Table2678[[#This Row],[1]:[11]],0))-1)/(COUNTA(Table2678[[#This Row],[1]:[11]])-COUNTBLANK(Table2678[[#This Row],[1]:[11]])-1)))</f>
        <v/>
      </c>
      <c r="AI30" s="29" t="str" cm="1">
        <f t="array" ref="AI30">IF(Table2678[[#This Row],[11]]="","",Table2678[[#This Row],[Weight]:[Weight]]-(Table2678[[#This Row],[Weight]:[Weight]]*((_xlfn.XMATCH(Table2678[[#This Row],[11]],Table2678[[#This Row],[1]:[11]],0))-1)/(COUNTA(Table2678[[#This Row],[1]:[11]])-COUNTBLANK(Table2678[[#This Row],[1]:[11]])-1)))</f>
        <v/>
      </c>
    </row>
    <row r="31" spans="1:35" ht="132" x14ac:dyDescent="0.2">
      <c r="A31" s="32">
        <v>17</v>
      </c>
      <c r="B31" s="40" t="s">
        <v>607</v>
      </c>
      <c r="C31" s="40" t="s">
        <v>608</v>
      </c>
      <c r="D31" s="40" t="s">
        <v>609</v>
      </c>
      <c r="E31" s="40" t="s">
        <v>610</v>
      </c>
      <c r="F31" s="34" t="s">
        <v>56</v>
      </c>
      <c r="G31" s="35" cm="1">
        <f t="array" ref="G31">_xlfn.IFS(F31="","",F31="No interest",0,F31="Nice to have",1,F31="Useful",2,F31="Important",3,F31="Very important",4,F31="Critical",5,F31="Show stopper",6)</f>
        <v>3</v>
      </c>
      <c r="H31" s="36">
        <f t="shared" si="1"/>
        <v>0</v>
      </c>
      <c r="I31" s="37" t="s">
        <v>611</v>
      </c>
      <c r="J31" s="37" t="str" cm="1">
        <f t="array" ref="J31">_xlfn.TEXTJOIN(" "&amp;CHAR(10),,TEXT(SUBSTITUTE(Table2678[[#This Row],[12]:[22]],".",","),"0,00%"))</f>
        <v>0,00% 
0,00% 
0,00% 
0,00% 
0,00% 
0,00% 
0,00% 
0,00% 
0,00% 
0,00% 
0,00%</v>
      </c>
      <c r="K31" s="38" t="s">
        <v>36</v>
      </c>
      <c r="L31" s="39">
        <f>H31-(H31*((MATCH(Table2678[[#This Row],[Evaluators Response (SELECT)]],Table2678[[#This Row],[1]:[11]],0)-1)/(COUNTA(Table2678[[#This Row],[1]:[11]])-COUNTBLANK(Table2678[[#This Row],[1]:[11]])-1)))</f>
        <v>0</v>
      </c>
      <c r="M31" s="40"/>
      <c r="N31" s="29" t="str" cm="1">
        <f t="array" ref="N31">IFERROR(INDEX(_xlfn.UNIQUE(TRIM(_xlfn.TEXTSPLIT(Table2678[[#This Row],[Selection Options]:[Selection Options]],","))),,N$11),"")</f>
        <v>10</v>
      </c>
      <c r="O31" s="29" t="str" cm="1">
        <f t="array" ref="O31">IFERROR(INDEX(_xlfn.UNIQUE(TRIM(_xlfn.TEXTSPLIT(Table2678[[#This Row],[Selection Options]],","))),,O$11),"")</f>
        <v>9</v>
      </c>
      <c r="P31" s="29" t="str" cm="1">
        <f t="array" ref="P31">IFERROR(INDEX(_xlfn.UNIQUE(TRIM(_xlfn.TEXTSPLIT(Table2678[[#This Row],[Selection Options]],","))),,P$11),"")</f>
        <v>8</v>
      </c>
      <c r="Q31" s="29" t="str" cm="1">
        <f t="array" ref="Q31">IFERROR(INDEX(_xlfn.UNIQUE(TRIM(_xlfn.TEXTSPLIT(Table2678[[#This Row],[Selection Options]],","))),,Q$11),"")</f>
        <v>7</v>
      </c>
      <c r="R31" s="43" t="str" cm="1">
        <f t="array" ref="R31">IFERROR(INDEX(_xlfn.UNIQUE(TRIM(_xlfn.TEXTSPLIT(Table2678[[#This Row],[Selection Options]],","))),,R$11),"")</f>
        <v>6</v>
      </c>
      <c r="S31" s="29" t="str" cm="1">
        <f t="array" ref="S31">IFERROR(INDEX(_xlfn.UNIQUE(TRIM(_xlfn.TEXTSPLIT(Table2678[[#This Row],[Selection Options]],","))),,S$11),"")</f>
        <v>5</v>
      </c>
      <c r="T31" s="29" t="str" cm="1">
        <f t="array" ref="T31">IFERROR(INDEX(_xlfn.UNIQUE(TRIM(_xlfn.TEXTSPLIT(Table2678[[#This Row],[Selection Options]],","))),,T$11),"")</f>
        <v>4</v>
      </c>
      <c r="U31" s="29" t="str" cm="1">
        <f t="array" ref="U31">IFERROR(INDEX(_xlfn.UNIQUE(TRIM(_xlfn.TEXTSPLIT(Table2678[[#This Row],[Selection Options]],","))),,U$11),"")</f>
        <v>3</v>
      </c>
      <c r="V31" s="29" t="str" cm="1">
        <f t="array" ref="V31">IFERROR(INDEX(_xlfn.UNIQUE(TRIM(_xlfn.TEXTSPLIT(Table2678[[#This Row],[Selection Options]],","))),,V$11),"")</f>
        <v>2</v>
      </c>
      <c r="W31" s="29" t="str" cm="1">
        <f t="array" ref="W31">IFERROR(INDEX(_xlfn.UNIQUE(TRIM(_xlfn.TEXTSPLIT(Table2678[[#This Row],[Selection Options]],","))),,W$11),"")</f>
        <v>1</v>
      </c>
      <c r="X31" s="29" t="str" cm="1">
        <f t="array" ref="X31">IFERROR(INDEX(_xlfn.UNIQUE(TRIM(_xlfn.TEXTSPLIT(Table2678[[#This Row],[Selection Options]],","))),,X$11),"")</f>
        <v>0</v>
      </c>
      <c r="Y31" s="44" cm="1">
        <f t="array" ref="Y31">IF(Table2678[[#This Row],[1]]="","",Table2678[[#This Row],[Weight]:[Weight]]-(Table2678[[#This Row],[Weight]:[Weight]]*((_xlfn.XMATCH(Table2678[[#This Row],[1]],Table2678[[#This Row],[1]:[11]],0))-1)/(COUNTA(Table2678[[#This Row],[1]:[11]])-COUNTBLANK(Table2678[[#This Row],[1]:[11]])-1)))</f>
        <v>0</v>
      </c>
      <c r="Z31" s="44" cm="1">
        <f t="array" ref="Z31">IF(Table2678[[#This Row],[2]]="","",Table2678[[#This Row],[Weight]:[Weight]]-(Table2678[[#This Row],[Weight]:[Weight]]*((_xlfn.XMATCH(Table2678[[#This Row],[2]],Table2678[[#This Row],[1]:[11]],0))-1)/(COUNTA(Table2678[[#This Row],[1]:[11]])-COUNTBLANK(Table2678[[#This Row],[1]:[11]])-1)))</f>
        <v>0</v>
      </c>
      <c r="AA31" s="44" cm="1">
        <f t="array" ref="AA31">IF(Table2678[[#This Row],[3]]="","",Table2678[[#This Row],[Weight]:[Weight]]-(Table2678[[#This Row],[Weight]:[Weight]]*((_xlfn.XMATCH(Table2678[[#This Row],[3]],Table2678[[#This Row],[1]:[11]],0))-1)/(COUNTA(Table2678[[#This Row],[1]:[11]])-COUNTBLANK(Table2678[[#This Row],[1]:[11]])-1)))</f>
        <v>0</v>
      </c>
      <c r="AB31" s="44" cm="1">
        <f t="array" ref="AB31">IF(Table2678[[#This Row],[4]]="","",Table2678[[#This Row],[Weight]:[Weight]]-(Table2678[[#This Row],[Weight]:[Weight]]*((_xlfn.XMATCH(Table2678[[#This Row],[4]],Table2678[[#This Row],[1]:[11]],0))-1)/(COUNTA(Table2678[[#This Row],[1]:[11]])-COUNTBLANK(Table2678[[#This Row],[1]:[11]])-1)))</f>
        <v>0</v>
      </c>
      <c r="AC31" s="44" cm="1">
        <f t="array" ref="AC31">IF(Table2678[[#This Row],[5]]="","",Table2678[[#This Row],[Weight]:[Weight]]-(Table2678[[#This Row],[Weight]:[Weight]]*((_xlfn.XMATCH(Table2678[[#This Row],[5]],Table2678[[#This Row],[1]:[11]],0))-1)/(COUNTA(Table2678[[#This Row],[1]:[11]])-COUNTBLANK(Table2678[[#This Row],[1]:[11]])-1)))</f>
        <v>0</v>
      </c>
      <c r="AD31" s="44" cm="1">
        <f t="array" ref="AD31">IF(Table2678[[#This Row],[6]]="","",Table2678[[#This Row],[Weight]:[Weight]]-(Table2678[[#This Row],[Weight]:[Weight]]*((_xlfn.XMATCH(Table2678[[#This Row],[6]],Table2678[[#This Row],[1]:[11]],0))-1)/(COUNTA(Table2678[[#This Row],[1]:[11]])-COUNTBLANK(Table2678[[#This Row],[1]:[11]])-1)))</f>
        <v>0</v>
      </c>
      <c r="AE31" s="44" cm="1">
        <f t="array" ref="AE31">IF(Table2678[[#This Row],[7]]="","",Table2678[[#This Row],[Weight]:[Weight]]-(Table2678[[#This Row],[Weight]:[Weight]]*((_xlfn.XMATCH(Table2678[[#This Row],[7]],Table2678[[#This Row],[1]:[11]],0))-1)/(COUNTA(Table2678[[#This Row],[1]:[11]])-COUNTBLANK(Table2678[[#This Row],[1]:[11]])-1)))</f>
        <v>0</v>
      </c>
      <c r="AF31" s="44" cm="1">
        <f t="array" ref="AF31">IF(Table2678[[#This Row],[8]]="","",Table2678[[#This Row],[Weight]:[Weight]]-(Table2678[[#This Row],[Weight]:[Weight]]*((_xlfn.XMATCH(Table2678[[#This Row],[8]],Table2678[[#This Row],[1]:[11]],0))-1)/(COUNTA(Table2678[[#This Row],[1]:[11]])-COUNTBLANK(Table2678[[#This Row],[1]:[11]])-1)))</f>
        <v>0</v>
      </c>
      <c r="AG31" s="29" cm="1">
        <f t="array" ref="AG31">IF(Table2678[[#This Row],[9]]="","",Table2678[[#This Row],[Weight]:[Weight]]-(Table2678[[#This Row],[Weight]:[Weight]]*((_xlfn.XMATCH(Table2678[[#This Row],[9]],Table2678[[#This Row],[1]:[11]],0))-1)/(COUNTA(Table2678[[#This Row],[1]:[11]])-COUNTBLANK(Table2678[[#This Row],[1]:[11]])-1)))</f>
        <v>0</v>
      </c>
      <c r="AH31" s="29" cm="1">
        <f t="array" ref="AH31">IF(Table2678[[#This Row],[10]]="","",Table2678[[#This Row],[Weight]:[Weight]]-(Table2678[[#This Row],[Weight]:[Weight]]*((_xlfn.XMATCH(Table2678[[#This Row],[10]],Table2678[[#This Row],[1]:[11]],0))-1)/(COUNTA(Table2678[[#This Row],[1]:[11]])-COUNTBLANK(Table2678[[#This Row],[1]:[11]])-1)))</f>
        <v>0</v>
      </c>
      <c r="AI31" s="29" cm="1">
        <f t="array" ref="AI31">IF(Table2678[[#This Row],[11]]="","",Table2678[[#This Row],[Weight]:[Weight]]-(Table2678[[#This Row],[Weight]:[Weight]]*((_xlfn.XMATCH(Table2678[[#This Row],[11]],Table2678[[#This Row],[1]:[11]],0))-1)/(COUNTA(Table2678[[#This Row],[1]:[11]])-COUNTBLANK(Table2678[[#This Row],[1]:[11]])-1)))</f>
        <v>0</v>
      </c>
    </row>
  </sheetData>
  <sheetProtection insertRows="0" insertHyperlinks="0" deleteRows="0" autoFilter="0"/>
  <mergeCells count="4">
    <mergeCell ref="A10:A11"/>
    <mergeCell ref="B10:C11"/>
    <mergeCell ref="D10:E11"/>
    <mergeCell ref="E2:F3"/>
  </mergeCells>
  <conditionalFormatting sqref="K13:K31">
    <cfRule type="expression" dxfId="0" priority="1">
      <formula>COUNTIF(N13:X13,K13)&lt;&gt;1</formula>
    </cfRule>
  </conditionalFormatting>
  <dataValidations count="4">
    <dataValidation type="list" allowBlank="1" showInputMessage="1" showErrorMessage="1" sqref="K13:K31" xr:uid="{309CFB39-0844-421F-A378-409D5A05C523}">
      <formula1>$N13:$X13</formula1>
    </dataValidation>
    <dataValidation type="list" allowBlank="1" showInputMessage="1" showErrorMessage="1" sqref="F13:F31" xr:uid="{4867A12E-BA38-4AED-B3F9-CA7183973517}">
      <formula1>"No interest,Nice to have,Useful,Important,Very important,Critical,Show stopper"</formula1>
    </dataValidation>
    <dataValidation type="list" allowBlank="1" showInputMessage="1" showErrorMessage="1" sqref="H13:H31" xr:uid="{4420CCFB-0524-4B52-AFFE-45FA3C452A71}">
      <formula1>N13:R13</formula1>
    </dataValidation>
    <dataValidation type="list" allowBlank="1" showInputMessage="1" showErrorMessage="1" sqref="M14" xr:uid="{494CD1CB-1EFB-4B77-AFC0-96C26B78AD3C}">
      <formula1>_xlfn.UNIQUE(TRIM(_xlfn.TEXTSPLIT(#REF!,",")))</formula1>
    </dataValidation>
  </dataValidations>
  <pageMargins left="0.7" right="0.7" top="0.75" bottom="0.75" header="0.3" footer="0.3"/>
  <pageSetup paperSize="9" scale="49"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5EE2B852AB9142BB5840C88A056C0B" ma:contentTypeVersion="3" ma:contentTypeDescription="Create a new document." ma:contentTypeScope="" ma:versionID="083fa6f3ef332eba58d9f95cde3ece4b">
  <xsd:schema xmlns:xsd="http://www.w3.org/2001/XMLSchema" xmlns:xs="http://www.w3.org/2001/XMLSchema" xmlns:p="http://schemas.microsoft.com/office/2006/metadata/properties" xmlns:ns2="ac0af474-a030-41c3-8644-fbd2b20f5071" targetNamespace="http://schemas.microsoft.com/office/2006/metadata/properties" ma:root="true" ma:fieldsID="9ec948602d8fe42fdb98528d7d914c84" ns2:_="">
    <xsd:import namespace="ac0af474-a030-41c3-8644-fbd2b20f5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0af474-a030-41c3-8644-fbd2b20f5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404BAA-0B5A-4740-A21A-81B73BC8A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0af474-a030-41c3-8644-fbd2b20f5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4DADFD-5095-4298-B50D-18845301CD18}">
  <ds:schemaRefs>
    <ds:schemaRef ds:uri="http://schemas.microsoft.com/sharepoint/v3/contenttype/forms"/>
  </ds:schemaRefs>
</ds:datastoreItem>
</file>

<file path=customXml/itemProps3.xml><?xml version="1.0" encoding="utf-8"?>
<ds:datastoreItem xmlns:ds="http://schemas.openxmlformats.org/officeDocument/2006/customXml" ds:itemID="{7F10ECA1-4B0A-405E-82DE-436B8E28A2D8}">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dd17a35c-9c67-4dda-b948-74ee3b80cf57}" enabled="1" method="Standard" siteId="{93aedbdc-cc67-4652-aa12-d250a876ae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TEC Development Guidelines</vt:lpstr>
      <vt:lpstr>Response Guidelines</vt:lpstr>
      <vt:lpstr>Scoring Summary</vt:lpstr>
      <vt:lpstr>Key Requirements</vt:lpstr>
      <vt:lpstr>Functional</vt:lpstr>
      <vt:lpstr>Non-Functional</vt:lpstr>
      <vt:lpstr>Security</vt:lpstr>
      <vt:lpstr>Demo</vt:lpstr>
      <vt:lpstr>Cloud</vt:lpstr>
      <vt:lpstr>Definitions and Abbreviations</vt:lpstr>
      <vt:lpstr>Gatekeepers remove</vt:lpstr>
      <vt:lpstr>Integration remove</vt:lpstr>
      <vt:lpstr>Testing remove</vt:lpstr>
      <vt:lpstr>'Definitions and Abbreviations'!Print_Area</vt:lpstr>
      <vt:lpstr>Demo!Print_Area</vt:lpstr>
      <vt:lpstr>'Gatekeepers remove'!Print_Area</vt:lpstr>
      <vt:lpstr>'Non-Functional'!Print_Area</vt:lpstr>
      <vt:lpstr>'Response Guidelines'!Print_Area</vt:lpstr>
      <vt:lpstr>'Scoring Summary'!Print_Area</vt:lpstr>
      <vt:lpstr>Security!Print_Area</vt:lpstr>
      <vt:lpstr>'TEC Development Guidelines'!Print_Area</vt:lpstr>
      <vt:lpstr>'Testing remove'!Print_Area</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Jacques Erasmus</dc:creator>
  <cp:keywords/>
  <dc:description/>
  <cp:lastModifiedBy>Anita Greyvenstein</cp:lastModifiedBy>
  <cp:revision/>
  <dcterms:created xsi:type="dcterms:W3CDTF">2025-06-12T10:49:50Z</dcterms:created>
  <dcterms:modified xsi:type="dcterms:W3CDTF">2026-06-04T02:33:10Z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0x010100B55EE2B852AB9142BB5840C88A056C0B</vt:lpwstr>
  </property>
</Properties>
</file>