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C:\Users\Thabo\Documents\winnie phase 2\Ngwathe New connection\TENDERS\"/>
    </mc:Choice>
  </mc:AlternateContent>
  <xr:revisionPtr revIDLastSave="0" documentId="8_{27C2A714-F79F-4981-B265-BA0D9BC0511F}" xr6:coauthVersionLast="47" xr6:coauthVersionMax="47" xr10:uidLastSave="{00000000-0000-0000-0000-000000000000}"/>
  <bookViews>
    <workbookView xWindow="-108" yWindow="-108" windowWidth="23256" windowHeight="12456" firstSheet="1" activeTab="36" xr2:uid="{00000000-000D-0000-FFFF-FFFF00000000}"/>
  </bookViews>
  <sheets>
    <sheet name="Summary With Fees " sheetId="58" state="hidden" r:id="rId1"/>
    <sheet name=" Summary final" sheetId="59" r:id="rId2"/>
    <sheet name="Summary With Fees 2023" sheetId="28" state="hidden" r:id="rId3"/>
    <sheet name="Summary" sheetId="25" state="hidden" r:id="rId4"/>
    <sheet name="Fees " sheetId="29" state="hidden" r:id="rId5"/>
    <sheet name="Sheet3" sheetId="30" state="hidden" r:id="rId6"/>
    <sheet name="Sheet4" sheetId="31" state="hidden" r:id="rId7"/>
    <sheet name="Sheet5" sheetId="32" state="hidden" r:id="rId8"/>
    <sheet name="Sheet6" sheetId="33" state="hidden" r:id="rId9"/>
    <sheet name="Sheet7" sheetId="34" state="hidden" r:id="rId10"/>
    <sheet name="Sheet8" sheetId="35" state="hidden" r:id="rId11"/>
    <sheet name="Sheet9" sheetId="36" state="hidden" r:id="rId12"/>
    <sheet name="Sheet10" sheetId="37" state="hidden" r:id="rId13"/>
    <sheet name="Sheet11" sheetId="38" state="hidden" r:id="rId14"/>
    <sheet name="Sheet12" sheetId="39" state="hidden" r:id="rId15"/>
    <sheet name="Sheet13" sheetId="40" state="hidden" r:id="rId16"/>
    <sheet name="Sheet14" sheetId="41" state="hidden" r:id="rId17"/>
    <sheet name="Sheet15" sheetId="42" state="hidden" r:id="rId18"/>
    <sheet name="Sheet16" sheetId="43" state="hidden" r:id="rId19"/>
    <sheet name="Sheet17" sheetId="44" state="hidden" r:id="rId20"/>
    <sheet name="Sheet18" sheetId="45" state="hidden" r:id="rId21"/>
    <sheet name="Sheet19" sheetId="46" state="hidden" r:id="rId22"/>
    <sheet name="Sheet20" sheetId="47" state="hidden" r:id="rId23"/>
    <sheet name="Sheet21" sheetId="48" state="hidden" r:id="rId24"/>
    <sheet name="Sheet22" sheetId="49" state="hidden" r:id="rId25"/>
    <sheet name="Sheet23" sheetId="50" state="hidden" r:id="rId26"/>
    <sheet name="Sheet24" sheetId="51" state="hidden" r:id="rId27"/>
    <sheet name="Sheet25" sheetId="52" state="hidden" r:id="rId28"/>
    <sheet name="Sheet26" sheetId="53" state="hidden" r:id="rId29"/>
    <sheet name="Sheet27" sheetId="54" state="hidden" r:id="rId30"/>
    <sheet name="Sheet28" sheetId="55" state="hidden" r:id="rId31"/>
    <sheet name="Preliminaries" sheetId="1" r:id="rId32"/>
    <sheet name="Earthworks" sheetId="61" r:id="rId33"/>
    <sheet name="Site Clearance " sheetId="60" r:id="rId34"/>
    <sheet name="Site Clearance Old" sheetId="19" state="hidden" r:id="rId35"/>
    <sheet name="Earthworks OLD" sheetId="2" state="hidden" r:id="rId36"/>
    <sheet name="Excavation &amp; Control Trench " sheetId="62" r:id="rId37"/>
    <sheet name="Excavation &amp; Control Trench old" sheetId="20" state="hidden" r:id="rId38"/>
    <sheet name="Concrete" sheetId="4" r:id="rId39"/>
    <sheet name="Structural Steel Work" sheetId="6" r:id="rId40"/>
    <sheet name="Cable Duct" sheetId="5" r:id="rId41"/>
    <sheet name="Storm Water Drainage " sheetId="63" r:id="rId42"/>
    <sheet name="Storm Water Drainage OLD" sheetId="21" state="hidden" r:id="rId43"/>
    <sheet name="Facilities" sheetId="17" r:id="rId44"/>
    <sheet name="Substation Fencing" sheetId="16" r:id="rId45"/>
    <sheet name="Installation of Earth Grid" sheetId="26" r:id="rId46"/>
    <sheet name="MV Metal Clad Sw Gear" sheetId="27" r:id="rId47"/>
    <sheet name="General Electrical" sheetId="24" r:id="rId48"/>
    <sheet name="Outdoor Equipment" sheetId="7" r:id="rId49"/>
    <sheet name="MV Cable Work" sheetId="15" r:id="rId50"/>
    <sheet name="Conductor Stringing" sheetId="11" r:id="rId51"/>
    <sheet name="Install Clamps" sheetId="56" r:id="rId52"/>
    <sheet name="Commissioning " sheetId="57" r:id="rId53"/>
    <sheet name="Access Road" sheetId="64" r:id="rId54"/>
  </sheets>
  <externalReferences>
    <externalReference r:id="rId55"/>
  </externalReferences>
  <definedNames>
    <definedName name="OLE_LINK1" localSheetId="32">Earthworks!$D$13</definedName>
    <definedName name="OLE_LINK1" localSheetId="35">'Earthworks OLD'!$D$11</definedName>
    <definedName name="_xlnm.Print_Area" localSheetId="1">' Summary final'!$A$1:$C$31</definedName>
    <definedName name="_xlnm.Print_Area" localSheetId="53">'Access Road'!$A$2:$G$37</definedName>
    <definedName name="_xlnm.Print_Area" localSheetId="40">'Cable Duct'!$A$2:$H$19</definedName>
    <definedName name="_xlnm.Print_Area" localSheetId="52">'Commissioning '!$A$2:$H$30</definedName>
    <definedName name="_xlnm.Print_Area" localSheetId="38">Concrete!$A$2:$I$23</definedName>
    <definedName name="_xlnm.Print_Area" localSheetId="50">'Conductor Stringing'!$A$2:$H$20</definedName>
    <definedName name="_xlnm.Print_Area" localSheetId="32">Earthworks!$A$2:$G$17</definedName>
    <definedName name="_xlnm.Print_Area" localSheetId="35">'Earthworks OLD'!$A$2:$G$18</definedName>
    <definedName name="_xlnm.Print_Area" localSheetId="36">'Excavation &amp; Control Trench '!$A$2:$G$17</definedName>
    <definedName name="_xlnm.Print_Area" localSheetId="37">'Excavation &amp; Control Trench old'!$A$2:$G$17</definedName>
    <definedName name="_xlnm.Print_Area" localSheetId="43">Facilities!$A$2:$H$15</definedName>
    <definedName name="_xlnm.Print_Area" localSheetId="4">'Fees '!$A$1:$G$57</definedName>
    <definedName name="_xlnm.Print_Area" localSheetId="47">'General Electrical'!$A$1:$H$30</definedName>
    <definedName name="_xlnm.Print_Area" localSheetId="51">'Install Clamps'!$A$2:$H$42</definedName>
    <definedName name="_xlnm.Print_Area" localSheetId="45">'Installation of Earth Grid'!$A$1:$H$21</definedName>
    <definedName name="_xlnm.Print_Area" localSheetId="49">'MV Cable Work'!$A$2:$H$73</definedName>
    <definedName name="_xlnm.Print_Area" localSheetId="46">'MV Metal Clad Sw Gear'!$A$1:$H$48</definedName>
    <definedName name="_xlnm.Print_Area" localSheetId="48">'Outdoor Equipment'!$A$2:$H$31</definedName>
    <definedName name="_xlnm.Print_Area" localSheetId="31">Preliminaries!$A$1:$H$70</definedName>
    <definedName name="_xlnm.Print_Area" localSheetId="33">'Site Clearance '!$A$2:$G$13</definedName>
    <definedName name="_xlnm.Print_Area" localSheetId="34">'Site Clearance Old'!$A$2:$G$13</definedName>
    <definedName name="_xlnm.Print_Area" localSheetId="41">'Storm Water Drainage '!$A$2:$H$33</definedName>
    <definedName name="_xlnm.Print_Area" localSheetId="42">'Storm Water Drainage OLD'!$A$2:$H$33</definedName>
    <definedName name="_xlnm.Print_Area" localSheetId="39">'Structural Steel Work'!$A$2:$H$34</definedName>
    <definedName name="_xlnm.Print_Area" localSheetId="44">'Substation Fencing'!$A$2:$H$41</definedName>
    <definedName name="_xlnm.Print_Area" localSheetId="0">'Summary With Fees '!$A$1:$C$58</definedName>
    <definedName name="_xlnm.Print_Area" localSheetId="2">'Summary With Fees 2023'!$A$1:$C$35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0" i="59" l="1"/>
  <c r="C6" i="59"/>
  <c r="C5" i="59"/>
  <c r="C4" i="59"/>
  <c r="C22" i="59"/>
  <c r="E23" i="64"/>
  <c r="E30" i="64" s="1"/>
  <c r="G30" i="64" s="1"/>
  <c r="G22" i="64"/>
  <c r="E20" i="64"/>
  <c r="G20" i="64" s="1"/>
  <c r="E19" i="64"/>
  <c r="G19" i="64" s="1"/>
  <c r="G12" i="64"/>
  <c r="E12" i="64"/>
  <c r="E10" i="64"/>
  <c r="G10" i="64" s="1"/>
  <c r="E8" i="64"/>
  <c r="E13" i="64" s="1"/>
  <c r="G13" i="64" s="1"/>
  <c r="E7" i="64"/>
  <c r="G7" i="64" s="1"/>
  <c r="H31" i="63"/>
  <c r="H29" i="63"/>
  <c r="H24" i="63"/>
  <c r="H23" i="63"/>
  <c r="G20" i="63"/>
  <c r="E20" i="63"/>
  <c r="H20" i="63" s="1"/>
  <c r="H17" i="63"/>
  <c r="H16" i="63"/>
  <c r="H13" i="63"/>
  <c r="H10" i="63"/>
  <c r="E10" i="63"/>
  <c r="H7" i="63"/>
  <c r="H25" i="63" s="1"/>
  <c r="H28" i="63" s="1"/>
  <c r="E7" i="63"/>
  <c r="G16" i="62"/>
  <c r="E15" i="62"/>
  <c r="G15" i="62" s="1"/>
  <c r="E14" i="62"/>
  <c r="G14" i="62" s="1"/>
  <c r="E11" i="62"/>
  <c r="G11" i="62" s="1"/>
  <c r="E10" i="62"/>
  <c r="G10" i="62" s="1"/>
  <c r="E9" i="62"/>
  <c r="G9" i="62" s="1"/>
  <c r="E8" i="62"/>
  <c r="E13" i="62" s="1"/>
  <c r="G13" i="62" s="1"/>
  <c r="G13" i="61"/>
  <c r="G12" i="61"/>
  <c r="E10" i="61"/>
  <c r="E11" i="61" s="1"/>
  <c r="E9" i="61"/>
  <c r="E15" i="61" s="1"/>
  <c r="G15" i="61" s="1"/>
  <c r="G7" i="61"/>
  <c r="E12" i="60"/>
  <c r="G12" i="60" s="1"/>
  <c r="E10" i="60"/>
  <c r="G10" i="60" s="1"/>
  <c r="G9" i="60"/>
  <c r="E9" i="60"/>
  <c r="G23" i="64" l="1"/>
  <c r="G8" i="64"/>
  <c r="G14" i="64" s="1"/>
  <c r="G17" i="64" s="1"/>
  <c r="G36" i="64" s="1"/>
  <c r="E25" i="64"/>
  <c r="E26" i="64"/>
  <c r="G8" i="62"/>
  <c r="G10" i="61"/>
  <c r="E16" i="61"/>
  <c r="G16" i="61" s="1"/>
  <c r="G9" i="61"/>
  <c r="C20" i="59" l="1"/>
  <c r="C19" i="59" a="1"/>
  <c r="C19" i="59" s="1"/>
  <c r="C18" i="59"/>
  <c r="C17" i="59"/>
  <c r="C14" i="59"/>
  <c r="C13" i="59"/>
  <c r="C12" i="59"/>
  <c r="C11" i="59"/>
  <c r="C9" i="59"/>
  <c r="C8" i="59"/>
  <c r="C7" i="59"/>
  <c r="C3" i="59"/>
  <c r="I21" i="4"/>
  <c r="H33" i="21"/>
  <c r="E12" i="6"/>
  <c r="E11" i="6"/>
  <c r="E11" i="4"/>
  <c r="E19" i="7"/>
  <c r="E18" i="7"/>
  <c r="E14" i="7"/>
  <c r="E10" i="7"/>
  <c r="E9" i="7"/>
  <c r="E8" i="7"/>
  <c r="E26" i="24"/>
  <c r="E18" i="24"/>
  <c r="E17" i="24"/>
  <c r="E12" i="24"/>
  <c r="G17" i="20" l="1"/>
  <c r="G18" i="2"/>
  <c r="E46" i="1"/>
  <c r="F7" i="1"/>
  <c r="C30" i="28" l="1"/>
  <c r="E9" i="1"/>
  <c r="E11" i="1" s="1"/>
  <c r="E13" i="1" s="1"/>
  <c r="E15" i="1" s="1"/>
  <c r="E17" i="1" s="1"/>
  <c r="H27" i="24"/>
  <c r="H26" i="24"/>
  <c r="E10" i="1" l="1"/>
  <c r="E12" i="1" s="1"/>
  <c r="E14" i="1" s="1"/>
  <c r="E16" i="1" s="1"/>
  <c r="E18" i="1" s="1"/>
  <c r="E43" i="1" s="1"/>
  <c r="E44" i="1" s="1"/>
  <c r="E51" i="1" s="1"/>
  <c r="E52" i="1" s="1"/>
  <c r="E54" i="1" s="1"/>
  <c r="E55" i="1" s="1"/>
  <c r="E57" i="1" s="1"/>
  <c r="E58" i="1" s="1"/>
  <c r="E64" i="1" s="1"/>
  <c r="H15" i="1"/>
  <c r="E69" i="1" l="1"/>
  <c r="E65" i="1"/>
  <c r="E66" i="1" s="1"/>
  <c r="E67" i="1" s="1"/>
  <c r="G13" i="19"/>
  <c r="G44" i="29"/>
  <c r="H16" i="16"/>
  <c r="E13" i="16"/>
  <c r="E11" i="16"/>
  <c r="E7" i="16"/>
  <c r="C24" i="58"/>
  <c r="C42" i="58"/>
  <c r="C40" i="58" a="1"/>
  <c r="C40" i="58" s="1"/>
  <c r="C38" i="58"/>
  <c r="C22" i="58"/>
  <c r="C14" i="58"/>
  <c r="C12" i="58"/>
  <c r="C10" i="58"/>
  <c r="H29" i="7"/>
  <c r="H28" i="21"/>
  <c r="H25" i="21"/>
  <c r="G9" i="17"/>
  <c r="G7" i="17"/>
  <c r="H16" i="57"/>
  <c r="H36" i="56" l="1"/>
  <c r="H31" i="56"/>
  <c r="H30" i="56"/>
  <c r="H29" i="56"/>
  <c r="H20" i="56"/>
  <c r="H8" i="56"/>
  <c r="H7" i="56"/>
  <c r="G24" i="15" l="1"/>
  <c r="G36" i="27"/>
  <c r="H36" i="27" s="1"/>
  <c r="G28" i="27"/>
  <c r="H28" i="27" s="1"/>
  <c r="H9" i="5"/>
  <c r="H58" i="1"/>
  <c r="H23" i="1" l="1"/>
  <c r="H22" i="1"/>
  <c r="H20" i="1"/>
  <c r="H21" i="1"/>
  <c r="H51" i="1"/>
  <c r="H28" i="1"/>
  <c r="G72" i="15" l="1"/>
  <c r="H72" i="15" s="1"/>
  <c r="G70" i="15"/>
  <c r="H70" i="15" s="1"/>
  <c r="G68" i="15"/>
  <c r="H68" i="15" s="1"/>
  <c r="G66" i="15"/>
  <c r="H66" i="15" s="1"/>
  <c r="G65" i="15"/>
  <c r="H65" i="15" s="1"/>
  <c r="G64" i="15"/>
  <c r="H64" i="15" s="1"/>
  <c r="G58" i="15"/>
  <c r="H58" i="15" s="1"/>
  <c r="G55" i="15"/>
  <c r="H55" i="15" s="1"/>
  <c r="G56" i="15"/>
  <c r="H56" i="15" s="1"/>
  <c r="G54" i="15"/>
  <c r="H54" i="15" s="1"/>
  <c r="H54" i="1"/>
  <c r="H18" i="1"/>
  <c r="H17" i="1"/>
  <c r="H16" i="1"/>
  <c r="H46" i="27"/>
  <c r="H14" i="15"/>
  <c r="H27" i="15" s="1"/>
  <c r="H30" i="15" s="1"/>
  <c r="H42" i="27"/>
  <c r="H43" i="27"/>
  <c r="H7" i="57"/>
  <c r="H9" i="57"/>
  <c r="H10" i="57"/>
  <c r="H28" i="7"/>
  <c r="H20" i="7"/>
  <c r="H10" i="7"/>
  <c r="H9" i="7"/>
  <c r="G45" i="27"/>
  <c r="H45" i="27" s="1"/>
  <c r="G44" i="27"/>
  <c r="H44" i="27" s="1"/>
  <c r="G35" i="27"/>
  <c r="H35" i="27" s="1"/>
  <c r="G34" i="27"/>
  <c r="H34" i="27" s="1"/>
  <c r="G33" i="27"/>
  <c r="H33" i="27" s="1"/>
  <c r="G32" i="27"/>
  <c r="H32" i="27" s="1"/>
  <c r="G31" i="27"/>
  <c r="H31" i="27" s="1"/>
  <c r="G30" i="27"/>
  <c r="H30" i="27" s="1"/>
  <c r="G29" i="27"/>
  <c r="H29" i="27" s="1"/>
  <c r="G27" i="27"/>
  <c r="H27" i="27" s="1"/>
  <c r="G26" i="27"/>
  <c r="H26" i="27" s="1"/>
  <c r="G25" i="27"/>
  <c r="H25" i="27" s="1"/>
  <c r="G17" i="27"/>
  <c r="H17" i="27" s="1"/>
  <c r="G22" i="27"/>
  <c r="H22" i="27" s="1"/>
  <c r="G23" i="27"/>
  <c r="H23" i="27" s="1"/>
  <c r="G24" i="27"/>
  <c r="H24" i="27" s="1"/>
  <c r="G16" i="27"/>
  <c r="H16" i="27" s="1"/>
  <c r="G15" i="27"/>
  <c r="H15" i="27" s="1"/>
  <c r="G14" i="27"/>
  <c r="H14" i="27" s="1"/>
  <c r="G13" i="27"/>
  <c r="H13" i="27" s="1"/>
  <c r="G12" i="27"/>
  <c r="H12" i="27" s="1"/>
  <c r="H21" i="24"/>
  <c r="G10" i="27"/>
  <c r="H10" i="27" s="1"/>
  <c r="H8" i="27"/>
  <c r="F7" i="27"/>
  <c r="G6" i="27"/>
  <c r="H6" i="27" s="1"/>
  <c r="E8" i="20"/>
  <c r="E10" i="19"/>
  <c r="E12" i="19"/>
  <c r="E9" i="19"/>
  <c r="H30" i="1"/>
  <c r="H31" i="1"/>
  <c r="H32" i="1"/>
  <c r="H33" i="1"/>
  <c r="H34" i="1"/>
  <c r="H36" i="1"/>
  <c r="H37" i="1"/>
  <c r="H38" i="1"/>
  <c r="H39" i="1"/>
  <c r="H40" i="1"/>
  <c r="H41" i="1"/>
  <c r="H63" i="1"/>
  <c r="H64" i="1"/>
  <c r="H65" i="1"/>
  <c r="H66" i="1"/>
  <c r="H67" i="1"/>
  <c r="H69" i="1"/>
  <c r="H11" i="1"/>
  <c r="H12" i="1"/>
  <c r="H13" i="1"/>
  <c r="H14" i="1"/>
  <c r="H9" i="1"/>
  <c r="H10" i="1"/>
  <c r="H46" i="1"/>
  <c r="H52" i="1"/>
  <c r="G7" i="27" l="1"/>
  <c r="H7" i="27" s="1"/>
  <c r="H29" i="57" l="1"/>
  <c r="H28" i="57"/>
  <c r="H27" i="57"/>
  <c r="H25" i="57"/>
  <c r="H24" i="57"/>
  <c r="H21" i="57"/>
  <c r="H15" i="57"/>
  <c r="H13" i="57"/>
  <c r="H12" i="57"/>
  <c r="H41" i="56"/>
  <c r="H40" i="56"/>
  <c r="H39" i="56"/>
  <c r="H38" i="56"/>
  <c r="H37" i="56"/>
  <c r="H28" i="56"/>
  <c r="H27" i="56"/>
  <c r="H26" i="56"/>
  <c r="H25" i="56"/>
  <c r="H24" i="56"/>
  <c r="H23" i="56"/>
  <c r="H22" i="56"/>
  <c r="H21" i="56"/>
  <c r="H19" i="56"/>
  <c r="H18" i="56"/>
  <c r="H17" i="56"/>
  <c r="H16" i="56"/>
  <c r="H15" i="56"/>
  <c r="H14" i="56"/>
  <c r="H13" i="56"/>
  <c r="H12" i="56"/>
  <c r="H11" i="56"/>
  <c r="H10" i="56"/>
  <c r="H9" i="56"/>
  <c r="H19" i="26"/>
  <c r="H20" i="15"/>
  <c r="H19" i="15"/>
  <c r="G30" i="16"/>
  <c r="H30" i="16" s="1"/>
  <c r="G31" i="16"/>
  <c r="H31" i="16" s="1"/>
  <c r="H39" i="16"/>
  <c r="H13" i="4"/>
  <c r="E9" i="2"/>
  <c r="G9" i="2" s="1"/>
  <c r="H6" i="11"/>
  <c r="H19" i="7"/>
  <c r="H9" i="17"/>
  <c r="G11" i="27"/>
  <c r="H11" i="27" s="1"/>
  <c r="H26" i="6"/>
  <c r="H25" i="6"/>
  <c r="H33" i="6"/>
  <c r="H32" i="6"/>
  <c r="H31" i="6"/>
  <c r="H21" i="6"/>
  <c r="F11" i="15"/>
  <c r="H11" i="15" s="1"/>
  <c r="E13" i="2"/>
  <c r="G13" i="2" s="1"/>
  <c r="H27" i="7"/>
  <c r="H22" i="7"/>
  <c r="H32" i="16"/>
  <c r="H33" i="16"/>
  <c r="H35" i="16"/>
  <c r="H36" i="16"/>
  <c r="H37" i="16"/>
  <c r="H38" i="16"/>
  <c r="H23" i="16"/>
  <c r="H24" i="16"/>
  <c r="H25" i="16"/>
  <c r="H7" i="16"/>
  <c r="H8" i="16"/>
  <c r="H10" i="16"/>
  <c r="H11" i="16"/>
  <c r="H12" i="16"/>
  <c r="H13" i="16"/>
  <c r="H14" i="16"/>
  <c r="H15" i="16"/>
  <c r="H22" i="16"/>
  <c r="H21" i="16"/>
  <c r="G45" i="29"/>
  <c r="G43" i="29"/>
  <c r="F35" i="29"/>
  <c r="G28" i="29"/>
  <c r="F11" i="29"/>
  <c r="F10" i="29"/>
  <c r="H24" i="21"/>
  <c r="H23" i="21"/>
  <c r="H29" i="21"/>
  <c r="H16" i="15"/>
  <c r="H17" i="26"/>
  <c r="H16" i="26"/>
  <c r="H15" i="26"/>
  <c r="H11" i="26"/>
  <c r="H10" i="26"/>
  <c r="H14" i="26"/>
  <c r="H8" i="26"/>
  <c r="H6" i="26"/>
  <c r="H18" i="26"/>
  <c r="H20" i="26"/>
  <c r="C28" i="58" s="1"/>
  <c r="H11" i="17"/>
  <c r="H18" i="16"/>
  <c r="E36" i="15"/>
  <c r="H36" i="15" s="1"/>
  <c r="G9" i="27"/>
  <c r="H9" i="27" s="1"/>
  <c r="H24" i="15"/>
  <c r="H26" i="15"/>
  <c r="H31" i="15"/>
  <c r="H22" i="15"/>
  <c r="H11" i="11"/>
  <c r="H21" i="15"/>
  <c r="H18" i="15"/>
  <c r="H34" i="15"/>
  <c r="H35" i="15"/>
  <c r="H37" i="15"/>
  <c r="H38" i="15"/>
  <c r="H39" i="15"/>
  <c r="H40" i="15"/>
  <c r="H33" i="15"/>
  <c r="H10" i="15"/>
  <c r="H12" i="15"/>
  <c r="H13" i="15"/>
  <c r="H9" i="15"/>
  <c r="H43" i="15"/>
  <c r="H44" i="15"/>
  <c r="H45" i="15"/>
  <c r="H47" i="15"/>
  <c r="H48" i="15"/>
  <c r="H49" i="15"/>
  <c r="H50" i="15"/>
  <c r="H51" i="15"/>
  <c r="H42" i="15"/>
  <c r="H9" i="26"/>
  <c r="H19" i="16"/>
  <c r="H12" i="17"/>
  <c r="H13" i="17"/>
  <c r="H14" i="17"/>
  <c r="H7" i="17"/>
  <c r="H31" i="21"/>
  <c r="H20" i="21"/>
  <c r="H7" i="21"/>
  <c r="H16" i="5"/>
  <c r="H18" i="5"/>
  <c r="H15" i="5"/>
  <c r="H13" i="5"/>
  <c r="H7" i="6"/>
  <c r="H22" i="6"/>
  <c r="H23" i="6"/>
  <c r="H24" i="6"/>
  <c r="H20" i="6"/>
  <c r="H17" i="6"/>
  <c r="H16" i="6"/>
  <c r="H15" i="6"/>
  <c r="I22" i="4"/>
  <c r="I20" i="4"/>
  <c r="I19" i="4"/>
  <c r="I18" i="4"/>
  <c r="I17" i="4"/>
  <c r="I16" i="4"/>
  <c r="I15" i="4"/>
  <c r="I14" i="4"/>
  <c r="I9" i="4"/>
  <c r="G15" i="20"/>
  <c r="G14" i="20"/>
  <c r="G13" i="20"/>
  <c r="G11" i="2"/>
  <c r="G7" i="2"/>
  <c r="G9" i="19"/>
  <c r="H60" i="1"/>
  <c r="H18" i="7"/>
  <c r="H17" i="7"/>
  <c r="H17" i="24"/>
  <c r="H10" i="21"/>
  <c r="H10" i="5"/>
  <c r="C20" i="58" s="1"/>
  <c r="G11" i="20"/>
  <c r="G10" i="20"/>
  <c r="G16" i="20"/>
  <c r="G9" i="20"/>
  <c r="G8" i="20"/>
  <c r="H29" i="24"/>
  <c r="H20" i="24"/>
  <c r="G10" i="19"/>
  <c r="H16" i="21"/>
  <c r="H17" i="21"/>
  <c r="G10" i="2"/>
  <c r="H18" i="24"/>
  <c r="H16" i="24"/>
  <c r="H14" i="24"/>
  <c r="H9" i="24"/>
  <c r="H10" i="24"/>
  <c r="H11" i="24"/>
  <c r="H12" i="24"/>
  <c r="H8" i="24"/>
  <c r="G12" i="19"/>
  <c r="H57" i="1"/>
  <c r="H13" i="21"/>
  <c r="H19" i="6"/>
  <c r="H61" i="1"/>
  <c r="H35" i="1"/>
  <c r="H56" i="1"/>
  <c r="H55" i="1"/>
  <c r="H53" i="1"/>
  <c r="H44" i="1"/>
  <c r="H43" i="1"/>
  <c r="H7" i="1"/>
  <c r="H17" i="16"/>
  <c r="H13" i="11"/>
  <c r="H19" i="11"/>
  <c r="H17" i="11"/>
  <c r="H12" i="11"/>
  <c r="H9" i="11"/>
  <c r="H30" i="7"/>
  <c r="H21" i="7"/>
  <c r="H13" i="7"/>
  <c r="H14" i="7"/>
  <c r="H15" i="7"/>
  <c r="H16" i="7"/>
  <c r="H12" i="7"/>
  <c r="H11" i="7"/>
  <c r="H8" i="7"/>
  <c r="H12" i="6"/>
  <c r="H13" i="6"/>
  <c r="H14" i="6"/>
  <c r="H18" i="6"/>
  <c r="H11" i="6"/>
  <c r="I10" i="4"/>
  <c r="I11" i="4"/>
  <c r="I12" i="4"/>
  <c r="I13" i="4"/>
  <c r="I8" i="4"/>
  <c r="G17" i="2"/>
  <c r="G16" i="2"/>
  <c r="G20" i="25" a="1"/>
  <c r="G20" i="25" s="1"/>
  <c r="G19" i="25"/>
  <c r="H32" i="56" l="1"/>
  <c r="H59" i="15"/>
  <c r="C16" i="58"/>
  <c r="G7" i="25"/>
  <c r="H27" i="6"/>
  <c r="H30" i="6" s="1"/>
  <c r="C18" i="58" s="1"/>
  <c r="H18" i="27"/>
  <c r="H21" i="27" s="1"/>
  <c r="H37" i="27" s="1"/>
  <c r="G48" i="29"/>
  <c r="C28" i="28" s="1"/>
  <c r="H23" i="7"/>
  <c r="H26" i="7" s="1"/>
  <c r="H26" i="16"/>
  <c r="H22" i="24"/>
  <c r="H25" i="24" s="1"/>
  <c r="G11" i="25"/>
  <c r="H19" i="57"/>
  <c r="C20" i="28" s="1"/>
  <c r="F13" i="29"/>
  <c r="C13" i="28"/>
  <c r="G13" i="25"/>
  <c r="C10" i="28"/>
  <c r="C9" i="28"/>
  <c r="H24" i="1"/>
  <c r="H27" i="1" s="1"/>
  <c r="H47" i="1" s="1"/>
  <c r="C11" i="28"/>
  <c r="G47" i="27"/>
  <c r="H47" i="27" s="1"/>
  <c r="G18" i="25"/>
  <c r="C18" i="28"/>
  <c r="G6" i="25"/>
  <c r="C6" i="28"/>
  <c r="C4" i="28"/>
  <c r="C34" i="58" l="1"/>
  <c r="C16" i="59"/>
  <c r="C7" i="28"/>
  <c r="C52" i="58"/>
  <c r="C16" i="28"/>
  <c r="H62" i="15"/>
  <c r="H40" i="27"/>
  <c r="G10" i="25"/>
  <c r="G9" i="25"/>
  <c r="C8" i="28"/>
  <c r="G8" i="25"/>
  <c r="G16" i="25"/>
  <c r="C5" i="28"/>
  <c r="G5" i="25"/>
  <c r="G4" i="25"/>
  <c r="C32" i="58" l="1"/>
  <c r="C15" i="59"/>
  <c r="C23" i="59" s="1"/>
  <c r="C25" i="59" s="1"/>
  <c r="C28" i="59" s="1"/>
  <c r="C30" i="59" s="1"/>
  <c r="C31" i="59" s="1"/>
  <c r="C36" i="58"/>
  <c r="C15" i="28"/>
  <c r="G15" i="25"/>
  <c r="C30" i="58"/>
  <c r="H50" i="1"/>
  <c r="C3" i="28" l="1"/>
  <c r="C8" i="58"/>
  <c r="C17" i="28"/>
  <c r="G17" i="25"/>
  <c r="G3" i="25"/>
  <c r="G14" i="25"/>
  <c r="C14" i="28" l="1"/>
  <c r="H35" i="56"/>
  <c r="C19" i="28" a="1"/>
  <c r="C19" i="28" s="1"/>
  <c r="H29" i="16"/>
  <c r="C26" i="58" l="1"/>
  <c r="C44" i="58" s="1"/>
  <c r="C46" i="58" s="1"/>
  <c r="C48" i="58" s="1"/>
  <c r="C12" i="28"/>
  <c r="C22" i="28" s="1"/>
  <c r="G12" i="25"/>
  <c r="G22" i="25" s="1"/>
  <c r="C56" i="58" l="1"/>
  <c r="C24" i="28"/>
  <c r="G23" i="25"/>
  <c r="G24" i="25" s="1"/>
  <c r="H3" i="25"/>
  <c r="G7" i="29"/>
  <c r="F14" i="29" s="1"/>
  <c r="F15" i="29" l="1"/>
  <c r="G14" i="29"/>
  <c r="G19" i="29" l="1"/>
  <c r="G20" i="29"/>
  <c r="G21" i="29" l="1"/>
  <c r="G22" i="29" s="1"/>
  <c r="G25" i="29" s="1"/>
  <c r="E33" i="29" l="1"/>
  <c r="G33" i="29" s="1"/>
  <c r="E31" i="29"/>
  <c r="G31" i="29" s="1"/>
  <c r="E30" i="29"/>
  <c r="G30" i="29" s="1"/>
  <c r="E34" i="29"/>
  <c r="G34" i="29" s="1"/>
  <c r="E32" i="29"/>
  <c r="G32" i="29" s="1"/>
  <c r="E29" i="29"/>
  <c r="E35" i="29" l="1"/>
  <c r="G29" i="29"/>
  <c r="G35" i="29" s="1"/>
  <c r="C26" i="28" s="1"/>
  <c r="D30" i="28" l="1"/>
  <c r="C32" i="28"/>
  <c r="C34" i="28" s="1"/>
  <c r="C35" i="28" s="1"/>
  <c r="G50" i="29"/>
  <c r="G54" i="29" s="1"/>
  <c r="G57" i="29" s="1"/>
  <c r="C50" i="58"/>
  <c r="C54" i="58" l="1"/>
  <c r="C58" i="5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Hangwani Makwarela</author>
  </authors>
  <commentList>
    <comment ref="G5" authorId="0" shapeId="0" xr:uid="{00000000-0006-0000-0200-000001000000}">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<sst xmlns="http://schemas.openxmlformats.org/spreadsheetml/2006/main" count="2065" uniqueCount="1121">
  <si>
    <t>Item No.</t>
  </si>
  <si>
    <t>Refer</t>
  </si>
  <si>
    <t>Description of the item</t>
  </si>
  <si>
    <t>Unit</t>
  </si>
  <si>
    <t>Qty</t>
  </si>
  <si>
    <t>Rate</t>
  </si>
  <si>
    <t>Price (R)</t>
  </si>
  <si>
    <t>Supply</t>
  </si>
  <si>
    <t>Install</t>
  </si>
  <si>
    <t>SANS</t>
  </si>
  <si>
    <t>1200A</t>
  </si>
  <si>
    <t>PRELIMINARIES</t>
  </si>
  <si>
    <t>1.1.1</t>
  </si>
  <si>
    <t>item</t>
  </si>
  <si>
    <t>1.1.2</t>
  </si>
  <si>
    <t>1.1.3</t>
  </si>
  <si>
    <t>1.2.1</t>
  </si>
  <si>
    <t>1.2.2</t>
  </si>
  <si>
    <t>Operation &amp; maintenance of facilities</t>
  </si>
  <si>
    <t>1.2.3</t>
  </si>
  <si>
    <t>1.2.4</t>
  </si>
  <si>
    <t>Company &amp; head office overhead costs</t>
  </si>
  <si>
    <t>1.2.5</t>
  </si>
  <si>
    <t>1.3.1</t>
  </si>
  <si>
    <t>Subtotal carried to Item 1 of Summary</t>
  </si>
  <si>
    <t>R</t>
  </si>
  <si>
    <t>Item No</t>
  </si>
  <si>
    <t xml:space="preserve">Reference/ </t>
  </si>
  <si>
    <t>Drawing No</t>
  </si>
  <si>
    <t>Description of the Item</t>
  </si>
  <si>
    <t>SABS 1200C</t>
  </si>
  <si>
    <t>SITE WORKS</t>
  </si>
  <si>
    <t>2.2.1</t>
  </si>
  <si>
    <t>Site Preparation</t>
  </si>
  <si>
    <t>SABS 1200D</t>
  </si>
  <si>
    <t>m³</t>
  </si>
  <si>
    <t>m</t>
  </si>
  <si>
    <t>Item</t>
  </si>
  <si>
    <t>No.</t>
  </si>
  <si>
    <t>INSTALLATION OF EARTH GRID</t>
  </si>
  <si>
    <t>10 mm round copper main earth grid</t>
  </si>
  <si>
    <t>Joints/Bonding</t>
  </si>
  <si>
    <t>each</t>
  </si>
  <si>
    <t>Foundations</t>
  </si>
  <si>
    <t>D-DT 5206 s1</t>
  </si>
  <si>
    <t>Yard Stoning</t>
  </si>
  <si>
    <t>SCSASAB</t>
  </si>
  <si>
    <t>K2 Rev.0</t>
  </si>
  <si>
    <t>E-V-0005</t>
  </si>
  <si>
    <t>300mm Concrete Pipes</t>
  </si>
  <si>
    <t>Dia 300mm pipes  to oil holding dam</t>
  </si>
  <si>
    <t>An oil holding dam complete with lid</t>
  </si>
  <si>
    <t>D-DT 5233s2</t>
  </si>
  <si>
    <t xml:space="preserve">0.54/390S1  </t>
  </si>
  <si>
    <t>Manholes</t>
  </si>
  <si>
    <t>Excavate in all material, supply and construct</t>
  </si>
  <si>
    <t>Manholes (Inside and outside bund wall)</t>
  </si>
  <si>
    <t>ea</t>
  </si>
  <si>
    <t>ERECTION OF STEELWORK</t>
  </si>
  <si>
    <t>D-DT 5206 s3</t>
  </si>
  <si>
    <t>INSTALLATION OF EQUIPMENT</t>
  </si>
  <si>
    <t>New Equipment:</t>
  </si>
  <si>
    <t>Transport to site from Contractor’s stores and install the following equipment supplied by Contractor:</t>
  </si>
  <si>
    <t>D-DT 6190</t>
  </si>
  <si>
    <t>D-DT 6230</t>
  </si>
  <si>
    <t>INSTALLATION OF EQUIPMENT CONT.</t>
  </si>
  <si>
    <t>Clamp Assemblies</t>
  </si>
  <si>
    <t>Stringing and Conductor</t>
  </si>
  <si>
    <t>D-DT 3136</t>
  </si>
  <si>
    <t xml:space="preserve">Stringers and droppers –  Non Insulated Centipede </t>
  </si>
  <si>
    <t>Stringers and droppers – Hornet Insulated</t>
  </si>
  <si>
    <t>D-DT 6081</t>
  </si>
  <si>
    <t>Joint Ball Portable Earth</t>
  </si>
  <si>
    <t>Supply and install earth ball joints</t>
  </si>
  <si>
    <t>Switching grid</t>
  </si>
  <si>
    <t>D-DT-3059</t>
  </si>
  <si>
    <t>Supply and install switching grids</t>
  </si>
  <si>
    <t>Equipment Labelling</t>
  </si>
  <si>
    <t>D-DT-5048s3</t>
  </si>
  <si>
    <t>SUBSTATION FENCING</t>
  </si>
  <si>
    <t>D-DT 5237 s1–s4</t>
  </si>
  <si>
    <t>Earth cable armouring (braded tail) onto MV switchgear Cu earth bar</t>
  </si>
  <si>
    <t>`</t>
  </si>
  <si>
    <t>Prime Cost Items:</t>
  </si>
  <si>
    <t>All building rubble and spoil to be removed and disposed at a site/pit of the contractors own choice. Transport and dumping costs for the disposal of rubble and spoil to be included in the clearance rates</t>
  </si>
  <si>
    <t>Excavate in all materials for trenches, backfill,
compact and dispose of surplus material</t>
  </si>
  <si>
    <t>Facilities</t>
  </si>
  <si>
    <t>Control Room</t>
  </si>
  <si>
    <t>Supply and attach cable trays in the control room</t>
  </si>
  <si>
    <t>D-DT 6074</t>
  </si>
  <si>
    <t>Supply and attach signs to fence and gates</t>
  </si>
  <si>
    <t>D-DT 6073</t>
  </si>
  <si>
    <t>Supply and attach procedure in case of fire/first aid to control room</t>
  </si>
  <si>
    <t>Supply and attach substation name board</t>
  </si>
  <si>
    <t>Support 6.6kV cables with Polyprop clamp</t>
  </si>
  <si>
    <t>SCHEDULE 1</t>
  </si>
  <si>
    <t>SITE CLEARANCE</t>
  </si>
  <si>
    <t>SABS 1200BD</t>
  </si>
  <si>
    <t>Compaction in Road reserves</t>
  </si>
  <si>
    <t>Supply and fabrication</t>
  </si>
  <si>
    <t>Preparation of shop detail drawings</t>
  </si>
  <si>
    <t>Supply, fabrication, delivery and erection of steelwork, complete with all the necessary cleats, brackets, gussets packs, etc. using steel to SABS 1431 Grade 300 WA for electrical equipment
support</t>
  </si>
  <si>
    <t>All steelwork to be hot dipped galvanized to SABS spec 763 - in accordance with SABS 1200HC</t>
  </si>
  <si>
    <t>Price to include erection, bolts, nuts and rivets</t>
  </si>
  <si>
    <t>Supply and lay rectangular portal culverts and
slab as cable trench or cable tunnel,</t>
  </si>
  <si>
    <t>Alternatively brick built trenches can be provided</t>
  </si>
  <si>
    <t>Supply of Trench covers measured elsewhere</t>
  </si>
  <si>
    <t>PSLE3</t>
  </si>
  <si>
    <t xml:space="preserve">Cable Protection Slabs </t>
  </si>
  <si>
    <t>Supply and Lay cable protection slabs 300mm above cable</t>
  </si>
  <si>
    <t>Supply Lay and Prove Duct</t>
  </si>
  <si>
    <t>Cable Markers</t>
  </si>
  <si>
    <t xml:space="preserve">Oil Holding Dam </t>
  </si>
  <si>
    <t>SCHEDULE 2</t>
  </si>
  <si>
    <t>SCHEDULE 3</t>
  </si>
  <si>
    <t>SCHEDULE 4</t>
  </si>
  <si>
    <t>SCHEDULE 5</t>
  </si>
  <si>
    <t>SCHEDULE 6</t>
  </si>
  <si>
    <t>SCHEDULE 7</t>
  </si>
  <si>
    <t>SCHEDULE 8</t>
  </si>
  <si>
    <t>SCHEDULE 9</t>
  </si>
  <si>
    <t>SCHEDULE 10</t>
  </si>
  <si>
    <t>Run-way</t>
  </si>
  <si>
    <t>Carried Forward</t>
  </si>
  <si>
    <t>GENERAL ELECTRICAL</t>
  </si>
  <si>
    <t>Signs and Notices</t>
  </si>
  <si>
    <t>Allow for all the signs as per the Detail Technical Specification</t>
  </si>
  <si>
    <t>Signs and notices on Buildings</t>
  </si>
  <si>
    <t>Signs and Notice on Perimeter Fences and Substation Entrances</t>
  </si>
  <si>
    <t>Combined Emergency Notices</t>
  </si>
  <si>
    <t>First Aid kit to NOSA requirements</t>
  </si>
  <si>
    <t>Fire Extinguishers</t>
  </si>
  <si>
    <t>Lightning/Lighting Masts/ Area Lighting</t>
  </si>
  <si>
    <t>Incomers</t>
  </si>
  <si>
    <t>6.6kV Cable Work</t>
  </si>
  <si>
    <t>Terminate Cable</t>
  </si>
  <si>
    <t>COMMISSIONING EQUIPMENT</t>
  </si>
  <si>
    <t>General</t>
  </si>
  <si>
    <t>Functional Testing</t>
  </si>
  <si>
    <t>SUBSTATION SCADA</t>
  </si>
  <si>
    <t>Substation SCADA - FAT</t>
  </si>
  <si>
    <t>Substation SCADA - SAT</t>
  </si>
  <si>
    <t>MASTER STATION SCADA</t>
  </si>
  <si>
    <t>Master Station SCADA - SAT</t>
  </si>
  <si>
    <t>RADIO NETWORK</t>
  </si>
  <si>
    <t>Complete end to end test</t>
  </si>
  <si>
    <t>TRAINING</t>
  </si>
  <si>
    <t>SCADA</t>
  </si>
  <si>
    <t>Operator Level (5 operators) 3 days</t>
  </si>
  <si>
    <t>Engineer Level (3 engineers / technicians ) 5 days</t>
  </si>
  <si>
    <t>EQUIPMENT</t>
  </si>
  <si>
    <t>Management Level - 1/2 day overview</t>
  </si>
  <si>
    <t>Lightning Protection of Switchyard</t>
  </si>
  <si>
    <t>Provisional amount for the specialist evaluation of the LPS
in terms of SANS 10313 and necessary modifications to
proposed LPS</t>
  </si>
  <si>
    <t>Lightning Protection of Building</t>
  </si>
  <si>
    <t>Price shall include all sundries, tools, mounting accessories
for the correct operation of the equipment price shall further include for fixing and alignment, on and off-site testing as per
specification and equipment manufacturers requirements for a
complete installation.
Price shall include for all transport, off-loading, rigging insurance, etc.
Steelworks, excavations and foundations measured under civil
works:</t>
  </si>
  <si>
    <t>7.1.1</t>
  </si>
  <si>
    <t>7.2.1</t>
  </si>
  <si>
    <t>7.2.2</t>
  </si>
  <si>
    <t>7.4.1</t>
  </si>
  <si>
    <t>6.2.1</t>
  </si>
  <si>
    <t>6.2.2</t>
  </si>
  <si>
    <t>6.2.3</t>
  </si>
  <si>
    <t>ADD 10% CONTINGENCIES</t>
  </si>
  <si>
    <t>SUBTOTAL</t>
  </si>
  <si>
    <t>ADD 14% VAT</t>
  </si>
  <si>
    <t>TOTAL CARRIED FORWARD TO FORM OF OFFER</t>
  </si>
  <si>
    <t>3.1.1</t>
  </si>
  <si>
    <t>3.2.1</t>
  </si>
  <si>
    <t>3.2.2</t>
  </si>
  <si>
    <t>3.2.3</t>
  </si>
  <si>
    <t>3.3.1</t>
  </si>
  <si>
    <t>3.4.1</t>
  </si>
  <si>
    <t>4.1.1</t>
  </si>
  <si>
    <t>4.1.2</t>
  </si>
  <si>
    <t>4.2.1</t>
  </si>
  <si>
    <t>4.2.2</t>
  </si>
  <si>
    <t>5.1.1</t>
  </si>
  <si>
    <t>5.1.2</t>
  </si>
  <si>
    <t>5.1.3</t>
  </si>
  <si>
    <t>5.1.4</t>
  </si>
  <si>
    <t>5.1.5</t>
  </si>
  <si>
    <t>5.1.6</t>
  </si>
  <si>
    <t>6.6kV NER  fdn</t>
  </si>
  <si>
    <t>Lightning/Lighting mast fdn</t>
  </si>
  <si>
    <t>5.1.7</t>
  </si>
  <si>
    <t>5.1.8</t>
  </si>
  <si>
    <t>5.1.9</t>
  </si>
  <si>
    <t>5.1.10</t>
  </si>
  <si>
    <t>5.1.11</t>
  </si>
  <si>
    <t>Subtotal carried to Item 5 of Summary</t>
  </si>
  <si>
    <t>SANS 1200H</t>
  </si>
  <si>
    <t>6.2.4</t>
  </si>
  <si>
    <t>6.2.5</t>
  </si>
  <si>
    <t>6.2.6</t>
  </si>
  <si>
    <t>6.2.7</t>
  </si>
  <si>
    <t>6.2.8</t>
  </si>
  <si>
    <t>6.2.9</t>
  </si>
  <si>
    <t>Subtotal carried to Item 6 of Summary</t>
  </si>
  <si>
    <t>8.1.1</t>
  </si>
  <si>
    <t>8.2.1</t>
  </si>
  <si>
    <t>8.3.1</t>
  </si>
  <si>
    <t>8.4.1</t>
  </si>
  <si>
    <t>8.4.2</t>
  </si>
  <si>
    <t>8.5.1</t>
  </si>
  <si>
    <t>8.6.1</t>
  </si>
  <si>
    <t>Subtotal carried to Item 8 of Summary</t>
  </si>
  <si>
    <t>7.1.1.1</t>
  </si>
  <si>
    <t>7.1.1.2</t>
  </si>
  <si>
    <t>Subtotal carried to Item 7 of Summary</t>
  </si>
  <si>
    <t>9.1.1</t>
  </si>
  <si>
    <t>9.1.2</t>
  </si>
  <si>
    <t>9.1.3</t>
  </si>
  <si>
    <t>9.1.4</t>
  </si>
  <si>
    <t>Demolish and remove structures/ concrete foundations, cables and dismantle steelwork</t>
  </si>
  <si>
    <t>km</t>
  </si>
  <si>
    <t>Long Haul                       6m³</t>
  </si>
  <si>
    <t>D-DT 5204 s1</t>
  </si>
  <si>
    <t>D-DT 5271s1</t>
  </si>
  <si>
    <t>D-DT 5217s1</t>
  </si>
  <si>
    <t>D-DT 5218s1</t>
  </si>
  <si>
    <t>D-DT 5204 s2</t>
  </si>
  <si>
    <t>D-DT 5206 s6</t>
  </si>
  <si>
    <t>D-DT 5213s2</t>
  </si>
  <si>
    <t>D-DT 5218s2</t>
  </si>
  <si>
    <t>D-DT 5213s3</t>
  </si>
  <si>
    <t>Excavate in all material, supply and construct and remove burden:</t>
  </si>
  <si>
    <t>Storm Water Drainage</t>
  </si>
  <si>
    <t>Provide route layout design drawing by specialist indicating joint box locations cross bonding requirements etc</t>
  </si>
  <si>
    <t>New connections between local transformer and AC/DC Panel</t>
  </si>
  <si>
    <t>Earth cable armouring (braded tail) onto HV Terminal structures</t>
  </si>
  <si>
    <t>4.1.3</t>
  </si>
  <si>
    <t>4.1.5</t>
  </si>
  <si>
    <t>CONCRETE</t>
  </si>
  <si>
    <t>5.1.12</t>
  </si>
  <si>
    <t>D-DT 5226 s1</t>
  </si>
  <si>
    <t>5.1.13</t>
  </si>
  <si>
    <t>6.2.10</t>
  </si>
  <si>
    <t>6.2.11</t>
  </si>
  <si>
    <t>6.2.12</t>
  </si>
  <si>
    <t>Months</t>
  </si>
  <si>
    <t>Contractual requirements-EPWP-Report</t>
  </si>
  <si>
    <t>For Compaction  testing of earthworks by a commercial laboratory</t>
  </si>
  <si>
    <t>Conduct Geotech Studies.</t>
  </si>
  <si>
    <t>2.2.2.1</t>
  </si>
  <si>
    <t>3.4.2</t>
  </si>
  <si>
    <t>Complete earth grid Supply, Transport to site and Install as per earth grid drawing including all excavations, backfilling and compaction</t>
  </si>
  <si>
    <t>GEM-GA</t>
  </si>
  <si>
    <t>10 mm round copper for earth tails connected from reinforcement of trfr plinths, slipways and runway to main earth grid</t>
  </si>
  <si>
    <t>SCHEDULE 12</t>
  </si>
  <si>
    <t>12.1.1</t>
  </si>
  <si>
    <t>50 mm x 3 mm flat copper for earth tails connected to the main earth grid from equipment foundations, transformer kerbing reinforcement and fence (to the fence and fence corner gate post CGP)</t>
  </si>
  <si>
    <t>12.1.3</t>
  </si>
  <si>
    <t>12.1.4</t>
  </si>
  <si>
    <t>50 mm x 3 mm flat copper for earth tails for building earthing of panels. This  earthing  should  run  on  cable rack.</t>
  </si>
  <si>
    <t>Run 50 mm x 3 mm flat copper for battery room</t>
  </si>
  <si>
    <t>Bond all foundation copper to main earth grid of the substation as per earthing standard and foundation drawings.</t>
  </si>
  <si>
    <t>Main earth grid brazing; 10 mm round to 10 mm round</t>
  </si>
  <si>
    <t>Each</t>
  </si>
  <si>
    <t>D-DT 5240 Sh1&amp;2</t>
  </si>
  <si>
    <t>Main  earth  grid  brazing  to  earth  tails  (all foundations, control room, fence, etc.) ; 10 mm round to 50 mm x 3 mm flat</t>
  </si>
  <si>
    <t>Main earth grid brazing to earth tails (reinforcing of trfr plinths, slipways and runway,</t>
  </si>
  <si>
    <t>50 mm x 3 mm flat copper bolted to corner gate ,posts and intermediate posts and fence</t>
  </si>
  <si>
    <t>80 x 6 mm x 1.2 m long galvanised steel strap bolted to transformer tank and connected to transformer holding down bolts for earthing of transformers. (2 connections per strap)</t>
  </si>
  <si>
    <t>Earthworks (Trenches)</t>
  </si>
  <si>
    <t>D-DT 5245</t>
  </si>
  <si>
    <t>D-DT 0854</t>
  </si>
  <si>
    <t>6.6kV MV cable end support fdn</t>
  </si>
  <si>
    <t>6.6kV Isolator support fdn</t>
  </si>
  <si>
    <t>5.1.14</t>
  </si>
  <si>
    <t>160mm x 12m PVC Sleeves duct for Cable installation for Switch Room</t>
  </si>
  <si>
    <t>Supply Oil Holding Dam Pump , Cables, Switching Control Valves and install Dia 50mm PVC pipes for control cables from transformers and oil pump to cable trenches outside the bund wall</t>
  </si>
  <si>
    <t>D-DT 5238</t>
  </si>
  <si>
    <t>Supply Cabling , Conduts and Wire Control Room and Switch Room and Provide Earth leakages.</t>
  </si>
  <si>
    <t>6.6kV S/ARR (Trfr mounted) set</t>
  </si>
  <si>
    <t>Clamps Cable</t>
  </si>
  <si>
    <t>Stringers and droppers –  Non Insulated Bull</t>
  </si>
  <si>
    <t>INSTALLATION OF EQUIPMENT-CONDUCTOR</t>
  </si>
  <si>
    <t>Contractor’s Monthly related items:</t>
  </si>
  <si>
    <t>1.1.4</t>
  </si>
  <si>
    <t>1.1.5</t>
  </si>
  <si>
    <t>1.1.6</t>
  </si>
  <si>
    <t>1.2.6</t>
  </si>
  <si>
    <t>1.2.7</t>
  </si>
  <si>
    <t>1.2.8</t>
  </si>
  <si>
    <t>1.2.9</t>
  </si>
  <si>
    <t>GEM:006-01-04</t>
  </si>
  <si>
    <t>m2</t>
  </si>
  <si>
    <t>Sift Backfil Soil Selected granular material to12mm grade for all excavated back fill soils.</t>
  </si>
  <si>
    <t>Import / Selected fill material with thermal resistivity of ≤ 1.2 for all Control Cable 30mm as Per D-DT5245 Control Cable Trenches.(393m L x 820mm W X 30mm D)</t>
  </si>
  <si>
    <t>Reinstate Road Surfaces complete with all courses ..
G5 Material from Security Gate to Sub Entrance gate roadway (5m x 100mm x 110m)</t>
  </si>
  <si>
    <t>Ner Terminal Supt fdn</t>
  </si>
  <si>
    <t>21m Lightning/Lighting mast support</t>
  </si>
  <si>
    <t>ISOLATOR 6.6kV 2500A 31kA Support</t>
  </si>
  <si>
    <t>D-Dt3189</t>
  </si>
  <si>
    <t>Supply and spread 150mm thick layer of 25mm Yard stones(150m x70m x.15m)</t>
  </si>
  <si>
    <t>Construct 3 x3m x6m x 250mm thick reinforced concrete slip way to the transformers. Reinforcing to be mesh ref. 245 top and bottom. Connect reinforcement to earth grid as per D-DT-5240s10</t>
  </si>
  <si>
    <t xml:space="preserve">5000mmx250mmthick x 22m long reinforced concrete runway as detailed on drawing
(excludes transformer slip ways) Reinforce concrete at cable trench crossings. Connect reinforcement to earth grid
</t>
  </si>
  <si>
    <t>Excavate &amp; Install Soak Pit Hard Rock</t>
  </si>
  <si>
    <t>D-DT 5240 Sh1&amp;3</t>
  </si>
  <si>
    <t>D-DT 5240 Sh1&amp;4</t>
  </si>
  <si>
    <t>D-DT 5240 Sh1&amp;5</t>
  </si>
  <si>
    <t>D-DT 5240 Sh1&amp;6</t>
  </si>
  <si>
    <t>D-DT 5240 Sh1&amp;7</t>
  </si>
  <si>
    <t>SCHEDULE 13</t>
  </si>
  <si>
    <t>13.1.1</t>
  </si>
  <si>
    <t>Control Drwng</t>
  </si>
  <si>
    <t>6.6kV B/B VTs,  Metal Clad Switch Gear</t>
  </si>
  <si>
    <t>13.1.2</t>
  </si>
  <si>
    <t>13.1.3</t>
  </si>
  <si>
    <t>13.1.4</t>
  </si>
  <si>
    <t>Preliminaries</t>
  </si>
  <si>
    <t>Costs</t>
  </si>
  <si>
    <t>Category</t>
  </si>
  <si>
    <t>Site Clearance</t>
  </si>
  <si>
    <t>Earth Works</t>
  </si>
  <si>
    <t>Excavation &amp; Control Trenches</t>
  </si>
  <si>
    <t>Concrete Works</t>
  </si>
  <si>
    <t>Structural Steel Works</t>
  </si>
  <si>
    <t>Cable Ducts</t>
  </si>
  <si>
    <t>Substation Fencing</t>
  </si>
  <si>
    <t>Earth Mat Grid</t>
  </si>
  <si>
    <t>MV Switch Gear</t>
  </si>
  <si>
    <t>General Electrical</t>
  </si>
  <si>
    <t>Out Door Equipments</t>
  </si>
  <si>
    <t>HV -MV Cabling</t>
  </si>
  <si>
    <t>Commissioning</t>
  </si>
  <si>
    <t>Installations Clamps</t>
  </si>
  <si>
    <t>Total Project Costs</t>
  </si>
  <si>
    <t>Total Costs</t>
  </si>
  <si>
    <t>A</t>
  </si>
  <si>
    <t>B</t>
  </si>
  <si>
    <t>C</t>
  </si>
  <si>
    <t>Storm Water &amp; Drains</t>
  </si>
  <si>
    <t>Supply a 95mm2 cable gland</t>
  </si>
  <si>
    <t>D-DT 6029</t>
  </si>
  <si>
    <t>D-DT 6018 s1</t>
  </si>
  <si>
    <t>D-DT 6018 s3</t>
  </si>
  <si>
    <t>D-DT 6002s4</t>
  </si>
  <si>
    <t>D-DT 6018s3</t>
  </si>
  <si>
    <t>D-DT 6018s4</t>
  </si>
  <si>
    <t>D-DT 6006S2</t>
  </si>
  <si>
    <t>D-DT 6035 S2</t>
  </si>
  <si>
    <t>D-DT 6039</t>
  </si>
  <si>
    <t>D-DT6093</t>
  </si>
  <si>
    <t>D-DT6040 s2</t>
  </si>
  <si>
    <t>Clam EXPT120-127PCDTBFX 120-127SS</t>
  </si>
  <si>
    <t>End CapTBEC 120 Cond with F / Clamp</t>
  </si>
  <si>
    <t>D-DT6040s1</t>
  </si>
  <si>
    <t>End CapTBEC 120 No F / Clamp</t>
  </si>
  <si>
    <t xml:space="preserve">D-DT6090 </t>
  </si>
  <si>
    <t>D-DT6109s1</t>
  </si>
  <si>
    <t>D-DT6109s2</t>
  </si>
  <si>
    <t>D-DT6013s2</t>
  </si>
  <si>
    <t>Clamp Y Comp 2x 38.3mm-PALM 0DG YC16</t>
  </si>
  <si>
    <t>Clamp Y Comp 2 x38.3mm-PALM 45DG YC17</t>
  </si>
  <si>
    <t>Clamp T S CompTBCT 120/ 2x38mm</t>
  </si>
  <si>
    <t>Clamp Y Comp 2 x38.3mm-38mm-045DG YC2</t>
  </si>
  <si>
    <t>Clamp PEG Al Bull 38.3mm EPC-38mm</t>
  </si>
  <si>
    <t>D-DT6115</t>
  </si>
  <si>
    <t>Clamp Y / Comp 2 x 38.3mm-38mm 45Dg YC4</t>
  </si>
  <si>
    <t>D-DT6119</t>
  </si>
  <si>
    <t>Clamp , Tub Tap off TBCT120/C1-38</t>
  </si>
  <si>
    <t>Clamp PEG Al Bull 26.5mm EPC-26</t>
  </si>
  <si>
    <t>D-DT6006s3</t>
  </si>
  <si>
    <t>Clamp B/ Comp 38.3mm-38mm 0Dg KC3</t>
  </si>
  <si>
    <t>D-DT6006s4</t>
  </si>
  <si>
    <t>Clamp B/Comp 38.3mm-38mm 45DG-KC4</t>
  </si>
  <si>
    <t>Clamp T/Comp TBCT-120/38/C2 0Dg</t>
  </si>
  <si>
    <t>D-DT6117</t>
  </si>
  <si>
    <t>Clamp Tub Bus/Palm T/Off TBPT120</t>
  </si>
  <si>
    <t>D-DT6086</t>
  </si>
  <si>
    <t>Clamp F/Bus Coupler TBSC120-127</t>
  </si>
  <si>
    <t>D-DT6002</t>
  </si>
  <si>
    <t>Clamp Cross 26.5mm-38mm K2</t>
  </si>
  <si>
    <t>D-DT6006 s1</t>
  </si>
  <si>
    <t>Clamp B/ Comp 38.3mm-38mm 0Dg KC1</t>
  </si>
  <si>
    <t>D-DT6002s3</t>
  </si>
  <si>
    <t>Clamp Cross16.3mm-38mm K3</t>
  </si>
  <si>
    <t>D-DT3074 s1</t>
  </si>
  <si>
    <t>Lug all Hornet 1B M12</t>
  </si>
  <si>
    <t>Clamp Y Comp 2 x38.3mm-38mm-045DG YC4</t>
  </si>
  <si>
    <t>D-DT6010</t>
  </si>
  <si>
    <t>Clamp T/Comp 38.3mm-38mm 0Dg TC10</t>
  </si>
  <si>
    <t>Stringers and droppers – Insulated Bull</t>
  </si>
  <si>
    <t>6.2.13</t>
  </si>
  <si>
    <t>6.2.14</t>
  </si>
  <si>
    <t>6.2.15</t>
  </si>
  <si>
    <t>6.2.16</t>
  </si>
  <si>
    <t>6.2.17</t>
  </si>
  <si>
    <t>8.6.2</t>
  </si>
  <si>
    <t>SCHEDULE 11</t>
  </si>
  <si>
    <t>11.1.1</t>
  </si>
  <si>
    <t>11.1.2</t>
  </si>
  <si>
    <t>11.1.3</t>
  </si>
  <si>
    <t>11.1.4</t>
  </si>
  <si>
    <t>11.1.5</t>
  </si>
  <si>
    <t>11.1.7</t>
  </si>
  <si>
    <t>11.1.8</t>
  </si>
  <si>
    <t>11.1.9</t>
  </si>
  <si>
    <t>11.1.10</t>
  </si>
  <si>
    <t>11.1.11</t>
  </si>
  <si>
    <t>11.1.12</t>
  </si>
  <si>
    <t>11.1.13</t>
  </si>
  <si>
    <t>11.1.14</t>
  </si>
  <si>
    <t>12.1.2</t>
  </si>
  <si>
    <t>13.1.5</t>
  </si>
  <si>
    <t>13.1.6</t>
  </si>
  <si>
    <t>13.1.7</t>
  </si>
  <si>
    <t>13.1.8</t>
  </si>
  <si>
    <t>13.1.9</t>
  </si>
  <si>
    <t>13.1.10</t>
  </si>
  <si>
    <t>13.1.11</t>
  </si>
  <si>
    <t>13.1.12</t>
  </si>
  <si>
    <t>13.2.1</t>
  </si>
  <si>
    <t>SCHEDULE 14</t>
  </si>
  <si>
    <t>14.1.1</t>
  </si>
  <si>
    <t>14.1.2</t>
  </si>
  <si>
    <t>14.1.3</t>
  </si>
  <si>
    <t>14.1.4</t>
  </si>
  <si>
    <t>14.1.5</t>
  </si>
  <si>
    <t>14.1.6</t>
  </si>
  <si>
    <t>14.1.7</t>
  </si>
  <si>
    <t>14.1.8</t>
  </si>
  <si>
    <t>14.1.9</t>
  </si>
  <si>
    <t>14.1.10</t>
  </si>
  <si>
    <t>14.1.11</t>
  </si>
  <si>
    <t>14.1.12</t>
  </si>
  <si>
    <t>SCHEDULE 15</t>
  </si>
  <si>
    <t>15.1.1</t>
  </si>
  <si>
    <t>15.1.2</t>
  </si>
  <si>
    <t>15.1.3</t>
  </si>
  <si>
    <t>15.1.4</t>
  </si>
  <si>
    <t>15.1.5</t>
  </si>
  <si>
    <t>15.1.6</t>
  </si>
  <si>
    <t>15.2.</t>
  </si>
  <si>
    <t>15.2.1</t>
  </si>
  <si>
    <t>15.3.1</t>
  </si>
  <si>
    <t>15.3.2</t>
  </si>
  <si>
    <t>15.3.3</t>
  </si>
  <si>
    <t>15.3.4</t>
  </si>
  <si>
    <t>15.3.5</t>
  </si>
  <si>
    <t>15.3.6</t>
  </si>
  <si>
    <t>15.3.7</t>
  </si>
  <si>
    <t>15.3.8</t>
  </si>
  <si>
    <t>15.4.1</t>
  </si>
  <si>
    <t>15.4.2</t>
  </si>
  <si>
    <t>15.4.3</t>
  </si>
  <si>
    <t>15.4.4</t>
  </si>
  <si>
    <t>15.4.5</t>
  </si>
  <si>
    <t>15.4.6</t>
  </si>
  <si>
    <t>15.4.7</t>
  </si>
  <si>
    <t>15.4.8</t>
  </si>
  <si>
    <t>15.5.1</t>
  </si>
  <si>
    <t>15.5.2</t>
  </si>
  <si>
    <t>15.5.3</t>
  </si>
  <si>
    <t>15.5.4</t>
  </si>
  <si>
    <t>15.6.1</t>
  </si>
  <si>
    <t>15.6.2</t>
  </si>
  <si>
    <t>15.6.3</t>
  </si>
  <si>
    <t>15.6.4</t>
  </si>
  <si>
    <t>15.6.5</t>
  </si>
  <si>
    <t>SCHEDULE 16</t>
  </si>
  <si>
    <t>16.1.1</t>
  </si>
  <si>
    <t>16.1.2</t>
  </si>
  <si>
    <t>16.1.3</t>
  </si>
  <si>
    <t>16.2.1</t>
  </si>
  <si>
    <t>16.3.1</t>
  </si>
  <si>
    <t>16.4.1</t>
  </si>
  <si>
    <t>SCHEDULE 17</t>
  </si>
  <si>
    <t>17.1.1</t>
  </si>
  <si>
    <t>17.1.2</t>
  </si>
  <si>
    <t>17.1.3</t>
  </si>
  <si>
    <t>17.1.4</t>
  </si>
  <si>
    <t>17.1.5</t>
  </si>
  <si>
    <t>17.1.6</t>
  </si>
  <si>
    <t>17.1.7</t>
  </si>
  <si>
    <t>17.1.8</t>
  </si>
  <si>
    <t>17.1.9</t>
  </si>
  <si>
    <t>17.1.10</t>
  </si>
  <si>
    <t>17.1.11</t>
  </si>
  <si>
    <t>17.1.12</t>
  </si>
  <si>
    <t>17.1.13</t>
  </si>
  <si>
    <t>17.1.14</t>
  </si>
  <si>
    <t>17.1.15</t>
  </si>
  <si>
    <t>17.1.16</t>
  </si>
  <si>
    <t>17.1.17</t>
  </si>
  <si>
    <t>17.1.18</t>
  </si>
  <si>
    <t>SCHEDULE 18</t>
  </si>
  <si>
    <t>18.1.1</t>
  </si>
  <si>
    <t>18.1.2</t>
  </si>
  <si>
    <t>18.1.4</t>
  </si>
  <si>
    <t>18.1.5</t>
  </si>
  <si>
    <t>18.1.6</t>
  </si>
  <si>
    <t>18.1.7</t>
  </si>
  <si>
    <t>18.1.8</t>
  </si>
  <si>
    <t>18.1.9</t>
  </si>
  <si>
    <t>18.1.10</t>
  </si>
  <si>
    <t>18.1.11</t>
  </si>
  <si>
    <t>18.1.13</t>
  </si>
  <si>
    <t>Perimeter Fence</t>
  </si>
  <si>
    <t>D-DT 6157</t>
  </si>
  <si>
    <t>D-DT 6214</t>
  </si>
  <si>
    <t>D-DT 6217</t>
  </si>
  <si>
    <t>D-DT 6251</t>
  </si>
  <si>
    <t>D-DT6172</t>
  </si>
  <si>
    <t>D-DT 6234</t>
  </si>
  <si>
    <t>D-DT5206</t>
  </si>
  <si>
    <t>D-DT 5231s1</t>
  </si>
  <si>
    <t>D-DT 5210</t>
  </si>
  <si>
    <t>D-DT 5215</t>
  </si>
  <si>
    <t>D-DT5215</t>
  </si>
  <si>
    <t>D-DT 5217</t>
  </si>
  <si>
    <t>D-DT5208</t>
  </si>
  <si>
    <t>D-DT 5205</t>
  </si>
  <si>
    <t>D-DT 5237 , S5A</t>
  </si>
  <si>
    <t>VAT 15%</t>
  </si>
  <si>
    <t>Excavate Earth Mat Trial Holes to Verify Earthmat Positions 20 Holes of      ( 1m x1m x 1.2m)</t>
  </si>
  <si>
    <t>88kV High Voltage Cable Trench 270m x 1m x 2.25m for 2 x 88kV FDRS</t>
  </si>
  <si>
    <t>Excavate Control Cable Trenches and Dispose Of Material (393m L x 820mm W X 415mm D)</t>
  </si>
  <si>
    <t>Make-up deficiency in backfill material by importation from borrow pit /commercial sources designated by contractor (provisional)</t>
  </si>
  <si>
    <t>88kV VT support fdn</t>
  </si>
  <si>
    <t>Transformer Plinth Slipway, Catchment pit, Sump including brickwork (bundwall) suitable for 10MVA transformer complete as per Dwg D-DT-5232</t>
  </si>
  <si>
    <t>88kV VT – 2.5m ME support</t>
  </si>
  <si>
    <t>88kV busbar Tubular Support</t>
  </si>
  <si>
    <t>88kV VT support cap</t>
  </si>
  <si>
    <t>Cable Protection Slabs 900mmx230mmx 20m on Both 88kV Southern FDRs and 6.6kV B/B Coupling Cables-Within Sub.</t>
  </si>
  <si>
    <t>Route Marker for all 88kV FDRs Joints Bays and 6.6kV MV FDR Joint Bays</t>
  </si>
  <si>
    <t>m²</t>
  </si>
  <si>
    <t>88kV S/ARR (Trfr mounted) set</t>
  </si>
  <si>
    <t>Supply Install 88kV B/B VT's Sets</t>
  </si>
  <si>
    <t>6.6kV 800A, Bus FDR BKRs, 25kA Metal Clad Switch Gear</t>
  </si>
  <si>
    <t>6.6kV S/ARR MCOV  ( Terminal Incomer) set</t>
  </si>
  <si>
    <t>Fire wall support fdn</t>
  </si>
  <si>
    <t>Supply and Install 6.6kV, 240mm2 PILC single core Outdoor (TRF)
 terminations</t>
  </si>
  <si>
    <t>Supply and lay 6.6kV , 240mm2 PILC single core Cu cable</t>
  </si>
  <si>
    <t>New connections 95mm2 PILC single core Outdoor terminations between transformers and NER's</t>
  </si>
  <si>
    <t>Supply and lay 6.6kV , 95mm2 PILC three core Cu cable</t>
  </si>
  <si>
    <t>Supply and lay 6.6kV , 120mm2 PILC three core Cu cable</t>
  </si>
  <si>
    <t>Supply and lay 6.6kV , 150mm2 PILC three core Cu cable</t>
  </si>
  <si>
    <t>Supply joints for 6.6kV , 95mm2 PILC three core Cu cable</t>
  </si>
  <si>
    <t>Supply joints for 6.6kV , 120mm2 PILC three core Cu cable</t>
  </si>
  <si>
    <t>Supply joints for 6.6kV , 150mm2 PILC three core Cu cable</t>
  </si>
  <si>
    <t>Supply Termination for 6.6kV , 95mm2 PILC three core Cu cable</t>
  </si>
  <si>
    <t>Supply Termination for 6.6kV , 120mm2 PILC three core Cu cable</t>
  </si>
  <si>
    <t>Supply Termination for 6.6kV , 150mm2 PILC three core Cu cable</t>
  </si>
  <si>
    <t>Supply and lay 6.6kV , 185mm2 PILC three core Cu cable</t>
  </si>
  <si>
    <t>New connections of  6.6kV switchboards' feeders</t>
  </si>
  <si>
    <t>Supply joints for 6.6kV , 185mm2 PILC three core Cu cable</t>
  </si>
  <si>
    <t>Excavate 6.6kV Cable Trenches for the MV B/B Coupling Cables Between TRF 1 and TRF2&amp;3 and Dispose Of Material (85m L x 1m W X 1.2m D)</t>
  </si>
  <si>
    <t>6.6kV Medium Voltage Cable Trench  for 6.6kV 2 x FDR on new Switch Room (4.8m W x 1m D x 65m L)</t>
  </si>
  <si>
    <t>Construction Plants-Hire</t>
  </si>
  <si>
    <t>Receiving taking control and administering material.Store Man</t>
  </si>
  <si>
    <t>Arrangement with NLM control, obtaining permits, arranging outages etc and to energise sub.</t>
  </si>
  <si>
    <t xml:space="preserve">Subtotal carried to Item 3 of Summary                                                                            </t>
  </si>
  <si>
    <t>Subtotal carried to Item 2 of Summary</t>
  </si>
  <si>
    <t>Subtotal carried to Item 4 of Summary</t>
  </si>
  <si>
    <t>Subtotal carried to Item 9 of Summary</t>
  </si>
  <si>
    <t>Subtotal carried to Item 10 of Summary</t>
  </si>
  <si>
    <t>Subtotal carried to Item 12 of Summary</t>
  </si>
  <si>
    <t>Subtotal carried to Item 13 of Summary</t>
  </si>
  <si>
    <t>Subtotal carried to Item 14 of Summary</t>
  </si>
  <si>
    <t>Subtotal carried to Item 15 of Summary</t>
  </si>
  <si>
    <t>Subtotal carried to Item 16 of Summary</t>
  </si>
  <si>
    <t>Conductor Stringing</t>
  </si>
  <si>
    <t xml:space="preserve">Item No.                             </t>
  </si>
  <si>
    <t>Brought Forward</t>
  </si>
  <si>
    <t xml:space="preserve">ELECTRICAL SUPPLY AND INSTALLATION </t>
  </si>
  <si>
    <t>ELECTRICAL WORKS</t>
  </si>
  <si>
    <t>ITEM</t>
  </si>
  <si>
    <t>DESCRIPTION</t>
  </si>
  <si>
    <t>AMOUNT</t>
  </si>
  <si>
    <t>Preliminary and General</t>
  </si>
  <si>
    <t xml:space="preserve">Subtotal </t>
  </si>
  <si>
    <t xml:space="preserve">Professional Fees </t>
  </si>
  <si>
    <t>Disbursements</t>
  </si>
  <si>
    <t>Subtotal Incl Contingencies</t>
  </si>
  <si>
    <t>15% VAT</t>
  </si>
  <si>
    <t>TOTAL FOR ELECTRICAL WORKS :</t>
  </si>
  <si>
    <t xml:space="preserve">SCHEDULE 9 : PRELIMINARY &amp; GENERAL
 FOR VILLAGE RETICULATION  PORTION </t>
  </si>
  <si>
    <t>SCHEDULE 12 : VILLAGE RETICULATION: SECONDARY SYSTEM FOR FUTURE STAND CONNECTIONS  PRELIMINARY</t>
  </si>
  <si>
    <t xml:space="preserve">TOTAL CARRIED FORWARD
 TO CALCULATION OF TENDER SUM </t>
  </si>
  <si>
    <t>10% CONTINGENCIES
(0nly to be expended on the written authority of the Engineer )</t>
  </si>
  <si>
    <t>SUB-TOTAL</t>
  </si>
  <si>
    <t xml:space="preserve">14% VAT </t>
  </si>
  <si>
    <t xml:space="preserve">PART TOTAL OF SECTION  4  : TO FORM OF TENDER </t>
  </si>
  <si>
    <t xml:space="preserve">O/A TOTAL OF SECTION  4  : TO FORM OF TENDER </t>
  </si>
  <si>
    <t>CLIENT</t>
  </si>
  <si>
    <t>NGWATHE LOCAL MUNUCIPALITY</t>
  </si>
  <si>
    <t>CONSULTANT</t>
  </si>
  <si>
    <t>MUTEO CONSULTING</t>
  </si>
  <si>
    <t>PROJECT NUMBER</t>
  </si>
  <si>
    <t>NLM:TEC:51/20/21</t>
  </si>
  <si>
    <t>PROJECT NAME</t>
  </si>
  <si>
    <t>CONSTRUCTION OF KOPPIES SUB-STATION</t>
  </si>
  <si>
    <t>Construction Costs</t>
  </si>
  <si>
    <t>Cost of Works Excluding VAT</t>
  </si>
  <si>
    <t>Professional Fees</t>
  </si>
  <si>
    <t xml:space="preserve"> </t>
  </si>
  <si>
    <t>Project Type and Fee Category (Gov. Gazette No. 39480, Table 4-1, 4-2 or 4-3)</t>
  </si>
  <si>
    <t>D</t>
  </si>
  <si>
    <t>Typical Lower Limit (Table 4-5)</t>
  </si>
  <si>
    <t>Typical Upper Limit (Table 4-5)</t>
  </si>
  <si>
    <t>Level of Effort (Table 4-6)</t>
  </si>
  <si>
    <t>Medium Effort</t>
  </si>
  <si>
    <t>Total Percentage Basis Fees (at R 11.5m CoW benchmark, Figure 4-1)</t>
  </si>
  <si>
    <t>Calculated Percentage Basis Fees (at Estimated CoW, Figure 4-1)</t>
  </si>
  <si>
    <t>E</t>
  </si>
  <si>
    <t>Total Percentage Basis Fees (corrected)</t>
  </si>
  <si>
    <t>F</t>
  </si>
  <si>
    <t>Scope of Alterations Work (%)</t>
  </si>
  <si>
    <t>G</t>
  </si>
  <si>
    <t>Scope of Duplication of Works (%)</t>
  </si>
  <si>
    <t>Note: Duplication Works Factor applies to design fees only</t>
  </si>
  <si>
    <t>H</t>
  </si>
  <si>
    <t>Plus Additional Fee due to Alterations Work: D x F x 25%</t>
  </si>
  <si>
    <t>I</t>
  </si>
  <si>
    <t>Less Reduction of Fees due to Duplication of Works: D x 60% x G x 75%</t>
  </si>
  <si>
    <t>Subtotal 1 (fees before Discount)</t>
  </si>
  <si>
    <t>J</t>
  </si>
  <si>
    <t>Less Discount</t>
  </si>
  <si>
    <t>TOTAL PERCENTAGE BASIS FEES</t>
  </si>
  <si>
    <t>BREAKDOWN OF FEES</t>
  </si>
  <si>
    <t>% STAGE</t>
  </si>
  <si>
    <t>% OF TOTAL</t>
  </si>
  <si>
    <t>TO DATE</t>
  </si>
  <si>
    <t xml:space="preserve">LESS PREVIOUS </t>
  </si>
  <si>
    <t xml:space="preserve">NOW DUE </t>
  </si>
  <si>
    <t>Report Stage</t>
  </si>
  <si>
    <t>J1</t>
  </si>
  <si>
    <t>Inception</t>
  </si>
  <si>
    <t>J2</t>
  </si>
  <si>
    <t>Concept and Viability</t>
  </si>
  <si>
    <t>J3</t>
  </si>
  <si>
    <t>Design Development,</t>
  </si>
  <si>
    <t>J4</t>
  </si>
  <si>
    <t>Documentation and Procurement</t>
  </si>
  <si>
    <t>J5</t>
  </si>
  <si>
    <t>Contract Administration and Inspection</t>
  </si>
  <si>
    <t>J6</t>
  </si>
  <si>
    <t>Close-Out</t>
  </si>
  <si>
    <t>SUBTOTAL, PERCENTAGE BASIS FEES</t>
  </si>
  <si>
    <t>K</t>
  </si>
  <si>
    <t xml:space="preserve">TRAVELLING </t>
  </si>
  <si>
    <t>K1</t>
  </si>
  <si>
    <t>Travelling (Mileage)</t>
  </si>
  <si>
    <t>Km</t>
  </si>
  <si>
    <t>3days a month by 440km by12months @ R5.5/km</t>
  </si>
  <si>
    <t>K2</t>
  </si>
  <si>
    <t>Travelling (Time)</t>
  </si>
  <si>
    <t>Time</t>
  </si>
  <si>
    <t>6 hrs/day, 3days/month for 12months @ R850</t>
  </si>
  <si>
    <t>K3</t>
  </si>
  <si>
    <t>Toll Gates</t>
  </si>
  <si>
    <t>L</t>
  </si>
  <si>
    <t xml:space="preserve">SPECIALIST SERVICES </t>
  </si>
  <si>
    <t>L1</t>
  </si>
  <si>
    <t xml:space="preserve">Land Surveyor </t>
  </si>
  <si>
    <t>L2</t>
  </si>
  <si>
    <t xml:space="preserve">Environmental Study </t>
  </si>
  <si>
    <t>L3</t>
  </si>
  <si>
    <t xml:space="preserve">Geotechnical Study  </t>
  </si>
  <si>
    <t>SUBTOTAL, DISBURSEMENTS</t>
  </si>
  <si>
    <t xml:space="preserve">   15% VAT</t>
  </si>
  <si>
    <t xml:space="preserve">   TOTAL PROFESSIONAL FEES</t>
  </si>
  <si>
    <t>KWAKWATSI SUBSTATION</t>
  </si>
  <si>
    <t>BILL OF QUANTITIES</t>
  </si>
  <si>
    <t>10.1.1</t>
  </si>
  <si>
    <t>10.1.2</t>
  </si>
  <si>
    <t>Removal of excavated material</t>
  </si>
  <si>
    <t>Cable Trenching</t>
  </si>
  <si>
    <t>10.2.1</t>
  </si>
  <si>
    <t>10.2.2</t>
  </si>
  <si>
    <t xml:space="preserve">Sum </t>
  </si>
  <si>
    <t xml:space="preserve">Excavation, Supply and install cable trench - 820mm
wide </t>
  </si>
  <si>
    <t xml:space="preserve">Setting out of cable trench </t>
  </si>
  <si>
    <t xml:space="preserve">Excavation, Supply and install cable trench - 600mm wide </t>
  </si>
  <si>
    <t>10.2.3</t>
  </si>
  <si>
    <t>Excavation, Supply and install reinforced concrete</t>
  </si>
  <si>
    <t>10.2.4</t>
  </si>
  <si>
    <t>10.2.5</t>
  </si>
  <si>
    <t>Supply and install cable trench cover supports</t>
  </si>
  <si>
    <t>10.2.6</t>
  </si>
  <si>
    <t>Supply and install PVC Sleeve (100mm Dia)</t>
  </si>
  <si>
    <t>Yard Stone &amp; Weed Control</t>
  </si>
  <si>
    <t>10.3.1</t>
  </si>
  <si>
    <t>First application of weed killer - neutralise site,spread weed killer &amp; herbicides</t>
  </si>
  <si>
    <t>Second application of weed killer</t>
  </si>
  <si>
    <t>10.3.2</t>
  </si>
  <si>
    <t>Supply and spread of yard stone - 100mm thick and spread (30mm minimum size)</t>
  </si>
  <si>
    <t>10.3.3</t>
  </si>
  <si>
    <t>Fencing - Security (2,4m, Clear-Vu Fence, supply,excavate, installation, Complete with Electric Fence, Energisers, Indicators, Labels, Etc.)</t>
  </si>
  <si>
    <t>10.4.1</t>
  </si>
  <si>
    <t>Supply and install fence corner posts</t>
  </si>
  <si>
    <t>10.4.2</t>
  </si>
  <si>
    <t>Supply and Install Clear-Vu Fence &amp; Intermediate</t>
  </si>
  <si>
    <t>10.4.3</t>
  </si>
  <si>
    <t>Supply and install 6m Clear-Vu Double Leaf Gate</t>
  </si>
  <si>
    <t>10.4.4</t>
  </si>
  <si>
    <t>Supply and install 6m Clear-Vu - Removable Panelsv (bolted)</t>
  </si>
  <si>
    <t>10.4.5</t>
  </si>
  <si>
    <t>Supply and install 6m Clear-Vu gate posts</t>
  </si>
  <si>
    <t>Supply and install - 1,8m Diamond Mesh Temporary Construction Fence, Complete with Safety Baricading Netting &amp; Signage</t>
  </si>
  <si>
    <t>10.4.7</t>
  </si>
  <si>
    <t>Supply and install - 2.4m Clear-Vu Fence, complete</t>
  </si>
  <si>
    <t>Supply and Install an Electric Fence on top of Clear-Vu fencing, complete with Energiser, Indicators,labels and Control</t>
  </si>
  <si>
    <t>10.4.8</t>
  </si>
  <si>
    <t>10.4.9</t>
  </si>
  <si>
    <t>Warning signs</t>
  </si>
  <si>
    <t>10.5.1</t>
  </si>
  <si>
    <t>Supply and Install unauthorized entry sign</t>
  </si>
  <si>
    <t>Supply and Install first aid sign</t>
  </si>
  <si>
    <t>Supply and Install prohibitive (various)</t>
  </si>
  <si>
    <t>Supply and Install hard hat sign</t>
  </si>
  <si>
    <t>Supply and Install safety shoe sign</t>
  </si>
  <si>
    <t>10.5.2</t>
  </si>
  <si>
    <t>10.5.3</t>
  </si>
  <si>
    <t>10.5.4</t>
  </si>
  <si>
    <t>10.5.5</t>
  </si>
  <si>
    <t>14.1.13</t>
  </si>
  <si>
    <t>14.1.14</t>
  </si>
  <si>
    <t>88 kV Isolator Rotating Centre, 2500A; 31,5kA/3sec; H/O</t>
  </si>
  <si>
    <t>14.1.15</t>
  </si>
  <si>
    <t>88 kV Isolator Rotating Centre with one Earth Switch, 2500A; 31,5kA/3sec; Man</t>
  </si>
  <si>
    <t>External and Station Site Access Road</t>
  </si>
  <si>
    <t>Disposal of Burden Specify</t>
  </si>
  <si>
    <t>Prepare Access road for TRF Delivery 640m x 5m from Main Entrance Gate to Sub Embarkment</t>
  </si>
  <si>
    <t>Bulk Earthworks (Formation of Platform) (100m X 120m x 1.5)</t>
  </si>
  <si>
    <t>For the services of an external Professional COW for use During Construction</t>
  </si>
  <si>
    <t>It is the responsibility of the substation Contractor to test the earth-grid resistance on completion of the project. Tests to be done by an approved person. The results shall be compared to the design results, as submitted by the Eskom Project Eng.</t>
  </si>
  <si>
    <t xml:space="preserve">Make off 630mm² 1c Cu PILC 6.6kV cable outdoor termination </t>
  </si>
  <si>
    <t>88kV Tubular 26 (12mL X 120mm x 4mm)</t>
  </si>
  <si>
    <t>Beam - 132/C40/1 Lattice Steel, Steelwork Manufaturing Details &amp; Assembly</t>
  </si>
  <si>
    <t xml:space="preserve">Earthwire support - 132/EW Lattice Steel, Steelwork Manufaturing Details &amp; Assembly </t>
  </si>
  <si>
    <t>6.2.18</t>
  </si>
  <si>
    <t>6.2.19</t>
  </si>
  <si>
    <t>6.2.20</t>
  </si>
  <si>
    <t>6m line Terminals</t>
  </si>
  <si>
    <t>6.2.21</t>
  </si>
  <si>
    <t>Build a 5.7m W x16.7m L Eskom STD. (APEX ROOF) COMBO CONTROL BUILDING TYPE B</t>
  </si>
  <si>
    <t>Build a 6.7m W x23.7m L Eskom STD. (APEX ROOF) COMBO CONTROL BUILDING TYPE A</t>
  </si>
  <si>
    <t>Supply Install 88kV  P/VT's Sets</t>
  </si>
  <si>
    <t>6.6 kV Isolator Rotating Centre with one Earth Switch, 800A; 25kA/3sec; Man</t>
  </si>
  <si>
    <t>Provisional amount for the jointing relocation and protection of 6.6kV cables during construction</t>
  </si>
  <si>
    <t>Pressure Test all Cables</t>
  </si>
  <si>
    <t>295,95</t>
  </si>
  <si>
    <t>10.5.6</t>
  </si>
  <si>
    <t>HV-MV Cabling</t>
  </si>
  <si>
    <t>17.1.19</t>
  </si>
  <si>
    <t>17.1.20</t>
  </si>
  <si>
    <t>17.1.21</t>
  </si>
  <si>
    <t>17.1.22</t>
  </si>
  <si>
    <t>17.1.23</t>
  </si>
  <si>
    <t>17.1.24</t>
  </si>
  <si>
    <t>17.1.25</t>
  </si>
  <si>
    <t>17.1.26</t>
  </si>
  <si>
    <t>17.1.27</t>
  </si>
  <si>
    <t>17.1.28</t>
  </si>
  <si>
    <t>17.1.29</t>
  </si>
  <si>
    <t>17.1.30</t>
  </si>
  <si>
    <t>17.1.31</t>
  </si>
  <si>
    <t>Clamp Installation</t>
  </si>
  <si>
    <t>NLM’s specific requirements</t>
  </si>
  <si>
    <t>1.1.7</t>
  </si>
  <si>
    <t>1.1.8</t>
  </si>
  <si>
    <t>Contractual requirements i.e insurances, statutory contributions etc</t>
  </si>
  <si>
    <t>Establishment of facilities on site such as plant, sheds, water, electricity, lighting, sanitary facilities, stores, communication, concrete batching and mixing, setting out, contractors sign board</t>
  </si>
  <si>
    <t>88/6.6kV 10MVA OLTC Transformer DYN11 Open Bushings, including FAT, loading and transportation of transformers(low bed truck from supplier to site(Koppies Substation, NLM), on and off loading and rigging of transformer(Contractor to allow for Heavy duty Mobile Crane), dressing and assembling of transformers (complete) on site, filling oil, testing of oil complete with certificates.</t>
  </si>
  <si>
    <t>1.1.5.1</t>
  </si>
  <si>
    <t xml:space="preserve">Contractor to conduct Earth Resistivity Testing after completion of S/S platform for Detailed Earthmat and Earthing Design </t>
  </si>
  <si>
    <t>1.1.5.2</t>
  </si>
  <si>
    <t>Contractor to compile Earthmat and Earthing Detail Design for approval by Engineer</t>
  </si>
  <si>
    <t>1.1.5.3</t>
  </si>
  <si>
    <t>Contractor to compile Protection, Metering, AC/DC &amp; Telecontrol -Detail Design Document including all relevant application drawings and diagrams as per Functional Designs and Specifications for approval by Engineer</t>
  </si>
  <si>
    <t>1.1.5.4</t>
  </si>
  <si>
    <t>Contractor to produce Protection Settings, including all relevant calculations for approval by Engineer</t>
  </si>
  <si>
    <t>Pre-Commissioning, Final Commissioning, Testing and Handing Over Documentation, Testing Certificates, Test Results, As built Drawings etc  complete with sets of all relevant Equipment and Maintenance Manuals</t>
  </si>
  <si>
    <t>Earth Mat and all Earthing (Complete)</t>
  </si>
  <si>
    <t>Trfs, HV, MV Equipment &amp; Switchgear (Complete)</t>
  </si>
  <si>
    <t>Primary Plant (Complete)</t>
  </si>
  <si>
    <t>Control Plant (Complete)</t>
  </si>
  <si>
    <t>MV &amp; LV &amp; Control Cables (Complete)</t>
  </si>
  <si>
    <t>1.1.2.1</t>
  </si>
  <si>
    <t>1.1.2.2</t>
  </si>
  <si>
    <t>Staff Accommodation</t>
  </si>
  <si>
    <t>1.1.2.3</t>
  </si>
  <si>
    <t>Security(24 hours),  Armed Response</t>
  </si>
  <si>
    <t>1.1.2.4</t>
  </si>
  <si>
    <t>Stores (Materials &amp; Equipment)</t>
  </si>
  <si>
    <t>1.1.2.5</t>
  </si>
  <si>
    <t>Water, Sanitation &amp; Electricity</t>
  </si>
  <si>
    <t>1.1.2.6</t>
  </si>
  <si>
    <t>Communication</t>
  </si>
  <si>
    <t>1.1.2.7</t>
  </si>
  <si>
    <t>Community Liason Officer for the duration of Contract</t>
  </si>
  <si>
    <t>Programme and Planning</t>
  </si>
  <si>
    <t>Offices</t>
  </si>
  <si>
    <t>1.2.3.1</t>
  </si>
  <si>
    <t>Management &amp; Supervision</t>
  </si>
  <si>
    <t>Management &amp; Supervision of the works: Appointment of an Authorised Person (HV Regulation Qualified, Full Time Supervisor) Compulsory to provide &amp; list the name(s) of Authorised Person and his credentials for the durarion of the contract</t>
  </si>
  <si>
    <t>Compliance with Safety Plan &amp; Safety File</t>
  </si>
  <si>
    <t>Statutory Health and Safety Appointments</t>
  </si>
  <si>
    <t>Health and Safety Training</t>
  </si>
  <si>
    <t>First Aid</t>
  </si>
  <si>
    <t>Environmental Management Requirements</t>
  </si>
  <si>
    <t>Personal Protective Equipment</t>
  </si>
  <si>
    <t>Cost for compliance to Construction Regulations requirements as well as Cost for Compliance to Health and Safety Specification, Special Safety (OHS Act) requirements by Client, compiling a Health and Safety Plan, Establishment of Plant and Equipment, Inspections by Eskom and Client</t>
  </si>
  <si>
    <t>1.1.9</t>
  </si>
  <si>
    <t>Removal of site establishment on completion of contract as per EMP</t>
  </si>
  <si>
    <t>Special Safety (OHS Act) requirement by Client</t>
  </si>
  <si>
    <t>Establishment of Plant &amp; Equipment</t>
  </si>
  <si>
    <t>Inspections by Client</t>
  </si>
  <si>
    <t>Environmental requirements by Client</t>
  </si>
  <si>
    <t>Establish fencing team</t>
  </si>
  <si>
    <t>1.1.10</t>
  </si>
  <si>
    <t>1.1.11</t>
  </si>
  <si>
    <t>1.1.12</t>
  </si>
  <si>
    <t xml:space="preserve">Transport to approved stores in Ngwathe for all surplus or redundant material or equiment all </t>
  </si>
  <si>
    <t>1.1.3.1</t>
  </si>
  <si>
    <t>1.1.3.2</t>
  </si>
  <si>
    <t>1.1.3.3</t>
  </si>
  <si>
    <t>1.1.3.4</t>
  </si>
  <si>
    <t>1.1.5.5</t>
  </si>
  <si>
    <t>Application of Herbicides and Pesticides over the complete terrace(150m x 150m)</t>
  </si>
  <si>
    <t>Remove topsoil to nominal depth of (150mm x150m x150m) and stockpile and maintain</t>
  </si>
  <si>
    <t>Clear and Grub site terrace for entire substation, Note: This Activity will be done in 3 phases, Within Project Phase of 36Months  (150m x 150m )</t>
  </si>
  <si>
    <t xml:space="preserve">Excavate Earth Mat Trenches, Area of 100m x 100m  for Earthmat   </t>
  </si>
  <si>
    <t>Foundations and concrete structures to be supplied complete with Formwork, reinforcing, concrete to specified strength using aggregates as per drawings, price inclusive of holding down bolts, frame and grouting</t>
  </si>
  <si>
    <t>Lightning Masts complete with fittings and electrical
control compartment and 4 x 110W LED per /21m Mast</t>
  </si>
  <si>
    <t>Supply and Install fire Extinguisers in positions directed by engineer / fire chief</t>
  </si>
  <si>
    <t xml:space="preserve">For the supply, delivery , off loading of MV switchgear ( Actom or equivalent) , control panels, battery chargers, RTU, Auxilliaries (Switching /Control Room)  complete with all SEL or equivalent protection devices &amp; relays  as per the Detailed Control Plant design and drawings provided by the Contractor and submitted to the Engineer for approval. </t>
  </si>
  <si>
    <t xml:space="preserve">6.6kV 1250A , Incomer BKRs 25kA Metal Clad Switchgear </t>
  </si>
  <si>
    <t xml:space="preserve">6.6kV 1250A , B/C BKRs 25kA Metal Clad Switchgear </t>
  </si>
  <si>
    <t>Specialist Engineering Detailed Design, Information and Drawings</t>
  </si>
  <si>
    <t>Make provisions for several factory visits &amp; acceptance tests as required and applicable for (1) Transformers (2) HV Equipment (3) MV Switchgear &amp; Control Plant Equipment (To be witnessed by Engineer and Employer representatives: Total 4 x Persons, All Costs and Expenses included)</t>
  </si>
  <si>
    <t>12.1.5</t>
  </si>
  <si>
    <t xml:space="preserve">1 X  110V DC 15 A 65AH Battery Terminal Unit </t>
  </si>
  <si>
    <t>85 x 110V DC Batteries complete with cabinet</t>
  </si>
  <si>
    <t xml:space="preserve">6.6kV/400V Auxilary Supply 200kVA  </t>
  </si>
  <si>
    <t>Transformer SEL Protection Scheme as specified in the Detailed Design provided by the Contractor</t>
  </si>
  <si>
    <t>12.1.6</t>
  </si>
  <si>
    <t>Current Differential Protection Schemes as specified in the Detailed Design provided by the Contractor</t>
  </si>
  <si>
    <t>Tap change Control  Schemes as specified in the Detailed Design provided by the Contractor</t>
  </si>
  <si>
    <t>12.1.7</t>
  </si>
  <si>
    <t>INSTALLATION OF HV &amp; MV SWITCH GEAR &amp; CONTROL, BATTERY CHARGERS &amp; AUXILLIARIES</t>
  </si>
  <si>
    <t>12.1.8</t>
  </si>
  <si>
    <t>Tariff Metering Panel</t>
  </si>
  <si>
    <t>12.1.9</t>
  </si>
  <si>
    <t>Meters(Cl 0.2)</t>
  </si>
  <si>
    <t>12.1.10</t>
  </si>
  <si>
    <t>Vectographs</t>
  </si>
  <si>
    <t>12.1.11</t>
  </si>
  <si>
    <t>Statistical Metering Panel</t>
  </si>
  <si>
    <t>12.1.12</t>
  </si>
  <si>
    <t>Metters ( Cl 0.5)</t>
  </si>
  <si>
    <t>12.1.13</t>
  </si>
  <si>
    <t>AC/DC Distribution Swing Frame panel (Top and Bottom Entry) 2400mm X 880mm x 600mm cabinet complete with earthing bars, trunking , prepunched gland plates, blue passivation lifting lugs.</t>
  </si>
  <si>
    <t>12.1.14</t>
  </si>
  <si>
    <t>Yard Control AC Distribution Board (with distribution and termination  modules aper Detailed Design</t>
  </si>
  <si>
    <t>12.1.15</t>
  </si>
  <si>
    <t>12.1.16</t>
  </si>
  <si>
    <t>12.1.17</t>
  </si>
  <si>
    <t>12.1.18</t>
  </si>
  <si>
    <t xml:space="preserve">400V 3 Phase AC Distribution Module </t>
  </si>
  <si>
    <t>12.1.19</t>
  </si>
  <si>
    <t>12.1.20</t>
  </si>
  <si>
    <t xml:space="preserve">230V 1 Phase AC Distribution Module </t>
  </si>
  <si>
    <t>AC supply module</t>
  </si>
  <si>
    <t>12.1.21</t>
  </si>
  <si>
    <t>CT Junction Box</t>
  </si>
  <si>
    <t>12.1.22</t>
  </si>
  <si>
    <t>VT Junction Box</t>
  </si>
  <si>
    <t>12.1.23</t>
  </si>
  <si>
    <t>Isolator Junction Boxes (ISJB)</t>
  </si>
  <si>
    <t>12.1.24</t>
  </si>
  <si>
    <t>12.1.25</t>
  </si>
  <si>
    <t>Maintenance Tools</t>
  </si>
  <si>
    <t>12.1.26</t>
  </si>
  <si>
    <t>First Aid box Complete with Labelling</t>
  </si>
  <si>
    <t>12.1.27</t>
  </si>
  <si>
    <t xml:space="preserve">Item </t>
  </si>
  <si>
    <t xml:space="preserve">88kV(132kV) Line Isolator </t>
  </si>
  <si>
    <t>88kV(132kV) Line Isolator w S/ARR</t>
  </si>
  <si>
    <t>14.1.16</t>
  </si>
  <si>
    <t>14.1.17</t>
  </si>
  <si>
    <t>14.1.18</t>
  </si>
  <si>
    <t>Supply Install 6.6kV NEC/NEE/AUX complete with 6.6kV Termination boxes(Ground mounted)</t>
  </si>
  <si>
    <t>MV cable end support</t>
  </si>
  <si>
    <t xml:space="preserve">Fire wall support </t>
  </si>
  <si>
    <t>Supply and Instal CCTV Access Control and Access Control                            ( Provisional Amount of R 400 000)</t>
  </si>
  <si>
    <t>Co-ordinate and provide Lightning protection system for
buildings see  SANS 10313
including equipotential bonding and electonic earthing
requirements (cross bond to earthmat) inclusive of
certification by specialist.</t>
  </si>
  <si>
    <t>88kV Bus Section  Protection Schemes as specified in the Detailed Design provided by the Contractor</t>
  </si>
  <si>
    <t>D20 RTU Config 5 or similar and IDF Frame to interface with primary and secondary plant equipmemt to be approved by Engineer and Eskom. This should come complete with all accessories to enable full system installation which included power supply unit, IDF rack, Cabling between IDF and Primary and secondart plant, communication interface kit and cables</t>
  </si>
  <si>
    <t>Telecommunication Equipment ( SDH Multiplexer</t>
  </si>
  <si>
    <t>12.1.25.1</t>
  </si>
  <si>
    <t>Allow for full life time software licensing for RTU and SDH multipler</t>
  </si>
  <si>
    <t>MV and LV Cable Work</t>
  </si>
  <si>
    <t>15.6.6</t>
  </si>
  <si>
    <t>15.6.6.1</t>
  </si>
  <si>
    <t>Transformer control cables</t>
  </si>
  <si>
    <t>15.6.6.2</t>
  </si>
  <si>
    <t>15.6.6.1.1</t>
  </si>
  <si>
    <t>Control Cables</t>
  </si>
  <si>
    <r>
      <t>2.5mm</t>
    </r>
    <r>
      <rPr>
        <vertAlign val="superscript"/>
        <sz val="10"/>
        <color theme="1"/>
        <rFont val="Arial Narrow"/>
        <family val="2"/>
      </rPr>
      <t>2</t>
    </r>
    <r>
      <rPr>
        <sz val="10"/>
        <color theme="1"/>
        <rFont val="Arial Narrow"/>
        <family val="2"/>
      </rPr>
      <t xml:space="preserve"> 30 core</t>
    </r>
  </si>
  <si>
    <t>15.6.6.1.2</t>
  </si>
  <si>
    <r>
      <t>2.5mm</t>
    </r>
    <r>
      <rPr>
        <vertAlign val="superscript"/>
        <sz val="10"/>
        <color theme="1"/>
        <rFont val="Arial Narrow"/>
        <family val="2"/>
      </rPr>
      <t>2</t>
    </r>
    <r>
      <rPr>
        <sz val="10"/>
        <color theme="1"/>
        <rFont val="Arial Narrow"/>
        <family val="2"/>
      </rPr>
      <t xml:space="preserve"> 4C core</t>
    </r>
  </si>
  <si>
    <t>15.6.6.1.3</t>
  </si>
  <si>
    <r>
      <t>4.0mm</t>
    </r>
    <r>
      <rPr>
        <vertAlign val="superscript"/>
        <sz val="10"/>
        <color theme="1"/>
        <rFont val="Arial Narrow"/>
        <family val="2"/>
      </rPr>
      <t>2</t>
    </r>
    <r>
      <rPr>
        <sz val="10"/>
        <color theme="1"/>
        <rFont val="Arial Narrow"/>
        <family val="2"/>
      </rPr>
      <t xml:space="preserve"> 4C core</t>
    </r>
  </si>
  <si>
    <t>15.6.6.3</t>
  </si>
  <si>
    <t>15.6.6.2.2</t>
  </si>
  <si>
    <t>15.6.6.3.1</t>
  </si>
  <si>
    <t>15.6.6.3.2</t>
  </si>
  <si>
    <t>15.6.6.3.3</t>
  </si>
  <si>
    <t>15.6.6.4</t>
  </si>
  <si>
    <t>15.6.6.4.3</t>
  </si>
  <si>
    <t>88kV VTs</t>
  </si>
  <si>
    <t>15.6.6.5</t>
  </si>
  <si>
    <t>15.6.6.5.1</t>
  </si>
  <si>
    <t>15.6.6.7</t>
  </si>
  <si>
    <t>15.6.6.7.1</t>
  </si>
  <si>
    <r>
      <t>10mm</t>
    </r>
    <r>
      <rPr>
        <vertAlign val="superscript"/>
        <sz val="10"/>
        <color theme="1"/>
        <rFont val="Arial Narrow"/>
        <family val="2"/>
      </rPr>
      <t>2</t>
    </r>
    <r>
      <rPr>
        <sz val="10"/>
        <color theme="1"/>
        <rFont val="Arial Narrow"/>
        <family val="2"/>
      </rPr>
      <t xml:space="preserve"> 4 core</t>
    </r>
  </si>
  <si>
    <t>88kV(132kV) CTs</t>
  </si>
  <si>
    <t>FAT and SAT attendance by a certified Protection Engineer and witnessed by Engineer</t>
  </si>
  <si>
    <t>18.1.1.1</t>
  </si>
  <si>
    <t>18.1.2.1</t>
  </si>
  <si>
    <t>Protection settings and grading of MV feeder relays by specialist protection engineer as per spec that will be proposed by the contractor, presented and approved by Employer after the awardimg of Tender. This will include the software (DigSilent/Etap)modelling and simulation of the protection philosophy of the network</t>
  </si>
  <si>
    <t>18.1.2.2</t>
  </si>
  <si>
    <t>Testing and commissioning of MV installation by Certified Engineer as per SANS 10142-2. Test shall include VLF tests by a certified or qualified specialist. Testing to be witnessed by Employer and Eskom. Included is the testing of HV and  MV switchgear by a specialist commissioning engineer</t>
  </si>
  <si>
    <t>Column - 132/C Lattice Steel, Steelwork Manufaturing Details &amp; Assembly - (10,668 Stringer Height)</t>
  </si>
  <si>
    <t>12.1.28</t>
  </si>
  <si>
    <t>12.1.29</t>
  </si>
  <si>
    <t>15.3.9</t>
  </si>
  <si>
    <t>15.3.10</t>
  </si>
  <si>
    <t>Provisional amount for the jointing relocation and protection of 6.6kV cables during construction, R15000.00</t>
  </si>
  <si>
    <t>15.1.7</t>
  </si>
  <si>
    <t>DDT-7615</t>
  </si>
  <si>
    <t>Training for Student</t>
  </si>
  <si>
    <t>Amount for PSC</t>
  </si>
  <si>
    <t>Generic Training</t>
  </si>
  <si>
    <t>1.1.2.8</t>
  </si>
  <si>
    <t>1.1.2.9</t>
  </si>
  <si>
    <t>1.1.2.10</t>
  </si>
  <si>
    <t xml:space="preserve">Subtotal carried to Item 17 of Summary       </t>
  </si>
  <si>
    <t xml:space="preserve">Subtotal carried to Item 18 of Summary                                                    </t>
  </si>
  <si>
    <t>Compliance with Environmental Legislation as well as environmental specifications included and or referred to in this document and Waste Disposal</t>
  </si>
  <si>
    <t>1.2.10</t>
  </si>
  <si>
    <t>1.3.2</t>
  </si>
  <si>
    <t>1.3.3</t>
  </si>
  <si>
    <t>1.3.3.1</t>
  </si>
  <si>
    <t>1.3.3.2</t>
  </si>
  <si>
    <t>1.3.3.3</t>
  </si>
  <si>
    <t>1.3.3.4</t>
  </si>
  <si>
    <t>1.3.3.5</t>
  </si>
  <si>
    <t>1.3.4</t>
  </si>
  <si>
    <t>1.3.4.1</t>
  </si>
  <si>
    <t>1.2.11</t>
  </si>
  <si>
    <t>Specialist for the Environmental Management services for use During Construction</t>
  </si>
  <si>
    <t>2.2.2.2</t>
  </si>
  <si>
    <t>2.2.2.3</t>
  </si>
  <si>
    <t>2.2.2.4</t>
  </si>
  <si>
    <t>CABLE CUCT</t>
  </si>
  <si>
    <t>8.6.3</t>
  </si>
  <si>
    <t>8.6.4</t>
  </si>
  <si>
    <t>7.3.1</t>
  </si>
  <si>
    <t>4.2.3</t>
  </si>
  <si>
    <t>4.2.4</t>
  </si>
  <si>
    <t>Construct 3000mm x 250mm  1 x( 1.2m L x 230mm W x 35mm B with 8mm Steel Reinforce- 88kV FDRs</t>
  </si>
  <si>
    <t>Construct 3000mm x 250mm  (765mm L x 230mm W x20mm B) Trench Covers-Control Cables</t>
  </si>
  <si>
    <t>9.1.5</t>
  </si>
  <si>
    <t>9.1.6</t>
  </si>
  <si>
    <t>10.4.6</t>
  </si>
  <si>
    <t>Setting out of kerbing (Pre-cast to SABS 927),around Substation Platform Perimeter  Supply and install kerbing - Complete as specified (Type Figure 3)</t>
  </si>
  <si>
    <t>11.1.15</t>
  </si>
  <si>
    <t>Provide an amount of R300 000 for supply and installation of 2 X stayed angle strain structure  ( 0 -90*) complete and string 1000m of Chicadee conductor up to Terminal Stucture of Koppies Substation</t>
  </si>
  <si>
    <t>Provisional an amount o R 300 000 for the relocation of Hop Hons feeder, 6.6kV MV line consisting of  4 spans @100m, R300000.00</t>
  </si>
  <si>
    <t>Provisional amount for the upgrade power supply to the water treatment works, R300 000.00</t>
  </si>
  <si>
    <t>Provisional amount for the specialist to design the entire earth grid, R 250 000</t>
  </si>
  <si>
    <t>Rate Only</t>
  </si>
  <si>
    <t>18.1.9.1</t>
  </si>
  <si>
    <t>18.1.11.1</t>
  </si>
  <si>
    <t>18.1.11.2</t>
  </si>
  <si>
    <t>18.1.13.1</t>
  </si>
  <si>
    <t>18.1.13.2</t>
  </si>
  <si>
    <t>18.1.13.3</t>
  </si>
  <si>
    <t>Contingencies @ 5%</t>
  </si>
  <si>
    <t>14.1.19</t>
  </si>
  <si>
    <t xml:space="preserve">6.6 kV Circuit Breaker </t>
  </si>
  <si>
    <t xml:space="preserve">Subtotal Incl Contingencies and Professional Fees &amp; Disbursements </t>
  </si>
  <si>
    <t>Price  (R)</t>
  </si>
  <si>
    <t>Total for Electrical Work:</t>
  </si>
  <si>
    <t>Provide a Provisional sum for decommission the existing Koppies munic substation</t>
  </si>
  <si>
    <t xml:space="preserve">132kV B/B Isolator </t>
  </si>
  <si>
    <t xml:space="preserve">132kV Circuit Breaker </t>
  </si>
  <si>
    <t>132kV Post Insulators (HV Conductor/MV cables Supp)</t>
  </si>
  <si>
    <t xml:space="preserve">132kV  Isolators </t>
  </si>
  <si>
    <t xml:space="preserve">132kV Isolators </t>
  </si>
  <si>
    <t>132kV Switchgear</t>
  </si>
  <si>
    <t>Insul, Line Post132kV 10kN 31mm/kV</t>
  </si>
  <si>
    <t>132kV HV SA support Cap</t>
  </si>
  <si>
    <t>132kV HV Cable termination support</t>
  </si>
  <si>
    <t>132kV CT support cap</t>
  </si>
  <si>
    <t>132kV CT – 2.5m ME support</t>
  </si>
  <si>
    <t>132kV Isolator support</t>
  </si>
  <si>
    <t xml:space="preserve">132kV Circuit Breaker support </t>
  </si>
  <si>
    <t>132kV busbar Tubular fdn</t>
  </si>
  <si>
    <t>132kV Terminal Support fdn</t>
  </si>
  <si>
    <t>132kV HV Cable termination fdn CES</t>
  </si>
  <si>
    <t>132kV CT support fdn</t>
  </si>
  <si>
    <t>132kV Circuit Breaker support fdn</t>
  </si>
  <si>
    <t>132kV Isolator support fdn</t>
  </si>
  <si>
    <t>Main AC incoming module (to be mounted in a 19 inch floor standing cabinet)</t>
  </si>
  <si>
    <t xml:space="preserve"> Allow for IEC619850 compliant SDH multipler to establish communication Link to Master Station to be approved by Engineer, Employer and Eskom complete with required cabling, gatewateys , interface units to make the syatem fully functional</t>
  </si>
  <si>
    <r>
      <t>6mm</t>
    </r>
    <r>
      <rPr>
        <vertAlign val="superscript"/>
        <sz val="10"/>
        <color theme="1"/>
        <rFont val="Arial Narrow"/>
        <family val="2"/>
      </rPr>
      <t>2</t>
    </r>
    <r>
      <rPr>
        <sz val="10"/>
        <color theme="1"/>
        <rFont val="Arial Narrow"/>
        <family val="2"/>
      </rPr>
      <t xml:space="preserve"> x 4 core cable inclusive of terminations for the general area and substation lighting</t>
    </r>
  </si>
  <si>
    <r>
      <t>Roof shall be a normal Apex roof</t>
    </r>
    <r>
      <rPr>
        <u/>
        <sz val="10"/>
        <color theme="1"/>
        <rFont val="Arial Narrow"/>
        <family val="2"/>
      </rPr>
      <t xml:space="preserve">. (The contractor shall allow for </t>
    </r>
    <r>
      <rPr>
        <sz val="10"/>
        <color theme="1"/>
        <rFont val="Arial Narrow"/>
        <family val="2"/>
      </rPr>
      <t>the</t>
    </r>
    <r>
      <rPr>
        <u/>
        <sz val="10"/>
        <color theme="1"/>
        <rFont val="Arial Narrow"/>
        <family val="2"/>
      </rPr>
      <t xml:space="preserve"> supply and installation of a</t>
    </r>
    <r>
      <rPr>
        <sz val="10"/>
        <color theme="1"/>
        <rFont val="Arial Narrow"/>
        <family val="2"/>
      </rPr>
      <t>n</t>
    </r>
    <r>
      <rPr>
        <u/>
        <sz val="10"/>
        <color theme="1"/>
        <rFont val="Arial Narrow"/>
        <family val="2"/>
      </rPr>
      <t xml:space="preserve"> outdoor type water proof switch for the yard lighting which will be positioned next to the one </t>
    </r>
    <r>
      <rPr>
        <sz val="10"/>
        <color theme="1"/>
        <rFont val="Arial Narrow"/>
        <family val="2"/>
      </rPr>
      <t xml:space="preserve">5m </t>
    </r>
    <r>
      <rPr>
        <u/>
        <sz val="10"/>
        <color theme="1"/>
        <rFont val="Arial Narrow"/>
        <family val="2"/>
      </rPr>
      <t>gate</t>
    </r>
    <r>
      <rPr>
        <sz val="10"/>
        <color theme="1"/>
        <rFont val="Arial Narrow"/>
        <family val="2"/>
      </rPr>
      <t xml:space="preserve"> at the entrance to the control room</t>
    </r>
    <r>
      <rPr>
        <u/>
        <sz val="10"/>
        <color theme="1"/>
        <rFont val="Arial Narrow"/>
        <family val="2"/>
      </rPr>
      <t>. This will be wired to a contactor in the yard box via a 4mm-4core cable.)</t>
    </r>
  </si>
  <si>
    <r>
      <rPr>
        <b/>
        <u/>
        <sz val="10"/>
        <color theme="1"/>
        <rFont val="Arial Narrow"/>
        <family val="2"/>
      </rPr>
      <t>Stone Verge Kerbing</t>
    </r>
    <r>
      <rPr>
        <sz val="10"/>
        <color theme="1"/>
        <rFont val="Arial Narrow"/>
        <family val="2"/>
      </rPr>
      <t xml:space="preserve">,             </t>
    </r>
  </si>
  <si>
    <r>
      <t>m</t>
    </r>
    <r>
      <rPr>
        <vertAlign val="superscript"/>
        <sz val="10"/>
        <color theme="1"/>
        <rFont val="Arial Narrow"/>
        <family val="2"/>
      </rPr>
      <t>3</t>
    </r>
  </si>
  <si>
    <r>
      <t>m</t>
    </r>
    <r>
      <rPr>
        <vertAlign val="superscript"/>
        <sz val="10"/>
        <color theme="1"/>
        <rFont val="Arial Narrow"/>
        <family val="2"/>
      </rPr>
      <t>2</t>
    </r>
  </si>
  <si>
    <r>
      <t>m</t>
    </r>
    <r>
      <rPr>
        <vertAlign val="superscript"/>
        <sz val="10"/>
        <color theme="1"/>
        <rFont val="Arial Narrow"/>
        <family val="2"/>
      </rPr>
      <t>3</t>
    </r>
    <r>
      <rPr>
        <sz val="11"/>
        <color indexed="8"/>
        <rFont val="Calibri"/>
        <family val="2"/>
      </rPr>
      <t/>
    </r>
  </si>
  <si>
    <t>Provide an amount of R 200 000 to extend the 6.6kV 1250A busbar on the existing Kwawatsi switching station and incorporate 2 X 1250A incomer breaker panels  and  1x 1250A feeder breaker panels. The breakers are a free issue from Municipality.</t>
  </si>
  <si>
    <t>Povide  a provisional sum of R100000.oo for Fire Detection System to be executed by the a Specialist Fires services sub contractor approved by the Engineer.</t>
  </si>
  <si>
    <t>Provide a Provisional sum for the construction of the MV lines to the existing Koppies and Kwakwatsi munic substations</t>
  </si>
  <si>
    <t xml:space="preserve">Fees and Disbursements previously paid </t>
  </si>
  <si>
    <t>Fees</t>
  </si>
  <si>
    <t>Years</t>
  </si>
  <si>
    <r>
      <t>Earthworks</t>
    </r>
    <r>
      <rPr>
        <b/>
        <sz val="10"/>
        <color rgb="FFFF0000"/>
        <rFont val="Arial Narrow"/>
        <family val="2"/>
      </rPr>
      <t xml:space="preserve"> (Excavations)</t>
    </r>
  </si>
  <si>
    <r>
      <t>m</t>
    </r>
    <r>
      <rPr>
        <vertAlign val="superscript"/>
        <sz val="10"/>
        <color rgb="FFFF0000"/>
        <rFont val="Arial Narrow"/>
        <family val="2"/>
      </rPr>
      <t>2</t>
    </r>
  </si>
  <si>
    <r>
      <t>Limited Haul                    6m</t>
    </r>
    <r>
      <rPr>
        <sz val="10"/>
        <color rgb="FFFF0000"/>
        <rFont val="Calibri"/>
        <family val="2"/>
      </rPr>
      <t>³</t>
    </r>
  </si>
  <si>
    <r>
      <rPr>
        <b/>
        <i/>
        <sz val="10"/>
        <color rgb="FFFF0000"/>
        <rFont val="Arial Narrow"/>
        <family val="2"/>
      </rPr>
      <t>Note:</t>
    </r>
    <r>
      <rPr>
        <i/>
        <sz val="10"/>
        <color rgb="FFFF0000"/>
        <rFont val="Arial Narrow"/>
        <family val="2"/>
      </rPr>
      <t xml:space="preserve"> All Steel, Copper and Aluminium to be set aside for controlled NLM disposal via specified scrap merchant. The scrap value to be offset against project</t>
    </r>
  </si>
  <si>
    <r>
      <t>m</t>
    </r>
    <r>
      <rPr>
        <sz val="10"/>
        <color rgb="FFFF0000"/>
        <rFont val="Calibri"/>
        <family val="2"/>
      </rPr>
      <t>²</t>
    </r>
  </si>
  <si>
    <t>An oil trap/filter in series with the oil dam</t>
  </si>
  <si>
    <r>
      <t xml:space="preserve">Concrete Slipway (Transformers) </t>
    </r>
    <r>
      <rPr>
        <b/>
        <sz val="10"/>
        <color rgb="FFFF0000"/>
        <rFont val="Arial Narrow"/>
        <family val="2"/>
      </rPr>
      <t>Excavate in all material, supply, construct and remove burden</t>
    </r>
  </si>
  <si>
    <r>
      <t>Apply herbicides and insecticides</t>
    </r>
    <r>
      <rPr>
        <b/>
        <sz val="10"/>
        <color rgb="FFFF0000"/>
        <rFont val="Arial Narrow"/>
        <family val="2"/>
      </rPr>
      <t xml:space="preserve">  </t>
    </r>
    <r>
      <rPr>
        <sz val="10"/>
        <color rgb="FFFF0000"/>
        <rFont val="Arial Narrow"/>
        <family val="2"/>
      </rPr>
      <t>Assistance of applying herbicides and insecticides can be obtained from EMM, Environmental Sciences</t>
    </r>
  </si>
  <si>
    <t>6.6kV Post Insulators Cable End Support Structure</t>
  </si>
  <si>
    <r>
      <t>m</t>
    </r>
    <r>
      <rPr>
        <sz val="10"/>
        <color rgb="FFFF0000"/>
        <rFont val="Calibri"/>
        <family val="2"/>
      </rPr>
      <t>³</t>
    </r>
  </si>
  <si>
    <t>5.1.15</t>
  </si>
  <si>
    <r>
      <t>Joint 630mm</t>
    </r>
    <r>
      <rPr>
        <sz val="10"/>
        <color theme="1"/>
        <rFont val="Calibri"/>
        <family val="2"/>
      </rPr>
      <t>²</t>
    </r>
    <r>
      <rPr>
        <sz val="10"/>
        <color theme="1"/>
        <rFont val="Arial Narrow"/>
        <family val="2"/>
      </rPr>
      <t xml:space="preserve"> PILC Cu single Core 6.6kV cable</t>
    </r>
  </si>
  <si>
    <r>
      <t>Supply and Lay 630mm</t>
    </r>
    <r>
      <rPr>
        <sz val="10"/>
        <color theme="1"/>
        <rFont val="Calibri"/>
        <family val="2"/>
      </rPr>
      <t>²</t>
    </r>
    <r>
      <rPr>
        <sz val="10"/>
        <color theme="1"/>
        <rFont val="Arial Narrow"/>
        <family val="2"/>
      </rPr>
      <t xml:space="preserve"> PILC Cu single Core 6.6kV cable</t>
    </r>
  </si>
  <si>
    <r>
      <t>Supply and Install 6.6kV, 630mm</t>
    </r>
    <r>
      <rPr>
        <vertAlign val="superscript"/>
        <sz val="10"/>
        <color theme="1"/>
        <rFont val="Arial Narrow"/>
        <family val="2"/>
      </rPr>
      <t>2</t>
    </r>
    <r>
      <rPr>
        <sz val="10"/>
        <color theme="1"/>
        <rFont val="Arial Narrow"/>
        <family val="2"/>
      </rPr>
      <t xml:space="preserve"> PILC single core Indoor (TRF &amp; 6.6kV B/B Coupling Cables)
 terminations</t>
    </r>
  </si>
  <si>
    <r>
      <t>Supply and Install 6.6kV, 95mm</t>
    </r>
    <r>
      <rPr>
        <sz val="10"/>
        <color theme="1"/>
        <rFont val="Calibri"/>
        <family val="2"/>
      </rPr>
      <t>²</t>
    </r>
    <r>
      <rPr>
        <sz val="10"/>
        <color theme="1"/>
        <rFont val="Arial Narrow"/>
        <family val="2"/>
      </rPr>
      <t xml:space="preserve"> PILC three core Outdoor terminations</t>
    </r>
  </si>
  <si>
    <r>
      <t xml:space="preserve">Joint Cable </t>
    </r>
    <r>
      <rPr>
        <b/>
        <sz val="10"/>
        <color theme="1"/>
        <rFont val="Arial Narrow"/>
        <family val="2"/>
      </rPr>
      <t>Include for the  removal of old termination</t>
    </r>
  </si>
  <si>
    <t>6.6kV Cable End Support fdn</t>
  </si>
  <si>
    <t>Supply Terminationfor 6.6kV , 185mm2 PILC three core Cu cable</t>
  </si>
  <si>
    <t>PC amount for transport and offloading of all materials and equipment forming part of this contract which the contractor shall be responsible for to this site</t>
  </si>
  <si>
    <t>PC amount for temporary access to works to allow for construction and delivery of materials incl transformers to site, reinstate to original or desired
condition</t>
  </si>
  <si>
    <t xml:space="preserve">132kV Current Transformer (BZ 1600/1) </t>
  </si>
  <si>
    <t xml:space="preserve">Supply Install 88kV Line VT's </t>
  </si>
  <si>
    <r>
      <rPr>
        <b/>
        <i/>
        <sz val="10"/>
        <rFont val="Arial Narrow"/>
        <family val="2"/>
      </rPr>
      <t>Note:</t>
    </r>
    <r>
      <rPr>
        <i/>
        <sz val="10"/>
        <rFont val="Arial Narrow"/>
        <family val="2"/>
      </rPr>
      <t xml:space="preserve"> All Steel, Copper and Aluminium to be set aside for controlled NLM disposal via specified scrap merchant. The scrap value to be offset against project</t>
    </r>
  </si>
  <si>
    <r>
      <t>m</t>
    </r>
    <r>
      <rPr>
        <sz val="10"/>
        <rFont val="Calibri"/>
        <family val="2"/>
      </rPr>
      <t>²</t>
    </r>
  </si>
  <si>
    <r>
      <t>Earthworks</t>
    </r>
    <r>
      <rPr>
        <b/>
        <sz val="10"/>
        <rFont val="Arial Narrow"/>
        <family val="2"/>
      </rPr>
      <t xml:space="preserve"> (Excavations)</t>
    </r>
  </si>
  <si>
    <t>Excavations - Removal of insitu material and disposal to an approved dumping site (120m x 100m  x 2m)</t>
  </si>
  <si>
    <t>Import G6 material from approved borrow pit and compact to 95% MOD AASHTO (As per Geotech recommendations)</t>
  </si>
  <si>
    <t>Import G6 material from commercial source and compact to 95% MOD AASHTO (As per Geotech recommendations)</t>
  </si>
  <si>
    <t>Rate only</t>
  </si>
  <si>
    <t>3.2.4</t>
  </si>
  <si>
    <t>3.2.5</t>
  </si>
  <si>
    <r>
      <t>m</t>
    </r>
    <r>
      <rPr>
        <vertAlign val="superscript"/>
        <sz val="10"/>
        <rFont val="Arial Narrow"/>
        <family val="2"/>
      </rPr>
      <t>2</t>
    </r>
  </si>
  <si>
    <t>3.3</t>
  </si>
  <si>
    <t>3.3.2</t>
  </si>
  <si>
    <t>Limited Haul                    6m³</t>
  </si>
  <si>
    <r>
      <t>m</t>
    </r>
    <r>
      <rPr>
        <sz val="10"/>
        <rFont val="Calibri"/>
        <family val="2"/>
      </rPr>
      <t>³</t>
    </r>
  </si>
  <si>
    <t>Internal Road Surfaces complete with all courses ..
80mm Interlocking Paving blocks from Security Gate to Sub Entrance gate roadway (5m x 100mm x 110m)</t>
  </si>
  <si>
    <t>Supply and spread 150mm thick layer of 25mm Yard stones(150m x70m x0.15m)</t>
  </si>
  <si>
    <r>
      <t xml:space="preserve">Concrete Slipway (Transformers) </t>
    </r>
    <r>
      <rPr>
        <b/>
        <sz val="10"/>
        <rFont val="Arial Narrow"/>
        <family val="2"/>
      </rPr>
      <t>Excavate in all material, supply, construct and remove burden</t>
    </r>
  </si>
  <si>
    <r>
      <t>Apply herbicides and insecticides</t>
    </r>
    <r>
      <rPr>
        <b/>
        <sz val="10"/>
        <rFont val="Arial Narrow"/>
        <family val="2"/>
      </rPr>
      <t xml:space="preserve">  </t>
    </r>
    <r>
      <rPr>
        <sz val="10"/>
        <rFont val="Arial Narrow"/>
        <family val="2"/>
      </rPr>
      <t>Assistance of applying herbicides and insecticides can be obtained from EMM, Environmental Sciences</t>
    </r>
  </si>
  <si>
    <t>RATE</t>
  </si>
  <si>
    <t>EARTHWORKS (ROADS AND SUBGRADE)</t>
  </si>
  <si>
    <t>19.1</t>
  </si>
  <si>
    <t>EARTHWORKS</t>
  </si>
  <si>
    <t>19.1.1</t>
  </si>
  <si>
    <t>CLEARING AND GRUBBING</t>
  </si>
  <si>
    <t>19.1.1.1</t>
  </si>
  <si>
    <t>Clear and grub to 100mm depth over the area. stockpile as topsoil berm as directed by the Engineer.</t>
  </si>
  <si>
    <t>19.1.1.2</t>
  </si>
  <si>
    <t xml:space="preserve">Excavate to the line and level as shown on the drawings and place stockpile materials as directed by the Engineer. </t>
  </si>
  <si>
    <t>m3</t>
  </si>
  <si>
    <t>19.1.2</t>
  </si>
  <si>
    <t>TREATMENT OF ROAD-BED</t>
  </si>
  <si>
    <t>19.1.2.1</t>
  </si>
  <si>
    <t>Road-bed preparation and compaction of material compacted to 93% MOD AASHTO maximum density</t>
  </si>
  <si>
    <t>19.1.2.2</t>
  </si>
  <si>
    <t>In-place treatment of road-bed in intermediate or hard material:</t>
  </si>
  <si>
    <t>19.1.2.3</t>
  </si>
  <si>
    <t>a) Rip and Recompact</t>
  </si>
  <si>
    <t>19.1.2.4</t>
  </si>
  <si>
    <t>b) Extra-over items: Temporary stockpiling of material</t>
  </si>
  <si>
    <t>19.1.3</t>
  </si>
  <si>
    <t>Excavation of Material</t>
  </si>
  <si>
    <t>19.1.3.2</t>
  </si>
  <si>
    <t>Intermediate excavation</t>
  </si>
  <si>
    <t>19.1.3.3</t>
  </si>
  <si>
    <t>Hard excavation</t>
  </si>
  <si>
    <t>19.2</t>
  </si>
  <si>
    <t>SUB-BASE</t>
  </si>
  <si>
    <t>19.2.1</t>
  </si>
  <si>
    <t>Construct and compact gravel wearing course with material (G6 or better) from approved borrow pit: Compact to 93% MOD AASHTO</t>
  </si>
  <si>
    <t>19.2.1.1</t>
  </si>
  <si>
    <t>150mm</t>
  </si>
  <si>
    <t>19.2.2</t>
  </si>
  <si>
    <t>Process material by means of:</t>
  </si>
  <si>
    <t>19.2.2.1</t>
  </si>
  <si>
    <t>a) Heavy grid rolling</t>
  </si>
  <si>
    <t>19.2.2.2</t>
  </si>
  <si>
    <t>b) Mechanical modification</t>
  </si>
  <si>
    <t>19.3</t>
  </si>
  <si>
    <t>BASE</t>
  </si>
  <si>
    <t>19.3.1</t>
  </si>
  <si>
    <t xml:space="preserve">Construct base with material from borrow pit </t>
  </si>
  <si>
    <t>19.3.1.1</t>
  </si>
  <si>
    <t>C4 Cement Stabilized base Compact 150mm to 95% MOD AASHTO</t>
  </si>
  <si>
    <t xml:space="preserve">Subtotal carried to Item 19 of Summary                                                    </t>
  </si>
  <si>
    <t>Earthworks (Roads and Subgrade)</t>
  </si>
  <si>
    <t>Crimped/Bolted</t>
  </si>
  <si>
    <t>Lug/Hornet</t>
  </si>
  <si>
    <t>Tube/Crimped</t>
  </si>
  <si>
    <t>Tube Fixed</t>
  </si>
  <si>
    <t>End Cap120</t>
  </si>
  <si>
    <t>Y/Clamp</t>
  </si>
  <si>
    <t>PEG/Clamp</t>
  </si>
  <si>
    <t>T/Comp</t>
  </si>
  <si>
    <t>Tube Slide</t>
  </si>
  <si>
    <t>13.6.1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</si>
</sst>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quot;R&quot;\ #,##0.00"/>
    <numFmt numFmtId="167" formatCode="_(* #,##0.00_);_(* \(#,##0.00\);_(* &quot;-&quot;??_);_(@_)"/>
    <numFmt numFmtId="168" formatCode="&quot;R&quot;#,##0.00"/>
    <numFmt numFmtId="169" formatCode="&quot; R &quot;* #,##0.00&quot; &quot;;&quot; R &quot;* &quot;-&quot;#,##0.00&quot; &quot;;&quot; R &quot;* &quot;-&quot;??&quot; &quot;"/>
    <numFmt numFmtId="170" formatCode="#,##0.00&quot; &quot;;\(#,##0.00\)"/>
    <numFmt numFmtId="171" formatCode="&quot; &quot;* #,##0.00&quot; &quot;;&quot;-&quot;* #,##0.00&quot; &quot;;&quot; &quot;* &quot;-&quot;??&quot; &quot;"/>
    <numFmt numFmtId="172" formatCode="&quot; &quot;[$R-1C09]&quot; &quot;* #,##0.00&quot; &quot;;&quot; &quot;[$R-1C09]&quot; &quot;* &quot;-&quot;#,##0.00&quot; &quot;;&quot; &quot;[$R-1C09]&quot; &quot;* &quot;-&quot;??&quot; &quot;"/>
    <numFmt numFmtId="173" formatCode="&quot; &quot;[$R-1C09]&quot; &quot;* #,##0&quot; &quot;;&quot; &quot;[$R-1C09]&quot; &quot;* &quot;-&quot;#,##0&quot; &quot;;&quot; &quot;[$R-1C09]&quot; &quot;* &quot;-&quot;??&quot; &quot;"/>
    <numFmt numFmtId="174" formatCode="#,##0.000"/>
    <numFmt numFmtId="175" formatCode="_-[$R-1C09]* #,##0.00_-;\-[$R-1C09]* #,##0.00_-;_-[$R-1C09]* &quot;-&quot;??_-;_-@_-"/>
  </numFmts>
  <fonts count="68" x14ac:knownFonts="1">
    <font>
      <sz val="11"/>
      <color theme="1"/>
      <name val="Calibri"/>
      <family val="2"/>
      <scheme val="minor"/>
    </font>
    <font>
      <sz val="11"/>
      <color indexed="8"/>
      <name val="Calibri"/>
      <family val="2"/>
    </font>
    <font>
      <sz val="10"/>
      <name val="Arial Narrow"/>
      <family val="2"/>
    </font>
    <font>
      <sz val="8"/>
      <name val="Calibri"/>
      <family val="2"/>
    </font>
    <font>
      <b/>
      <sz val="10"/>
      <name val="Arial Narrow"/>
      <family val="2"/>
    </font>
    <font>
      <b/>
      <u/>
      <sz val="10"/>
      <name val="Arial Narrow"/>
      <family val="2"/>
    </font>
    <font>
      <sz val="12"/>
      <name val="Arial"/>
      <family val="2"/>
    </font>
    <font>
      <b/>
      <sz val="10"/>
      <name val="Arial"/>
      <family val="2"/>
    </font>
    <font>
      <sz val="10"/>
      <name val="Arial"/>
      <family val="2"/>
    </font>
    <font>
      <b/>
      <sz val="11"/>
      <name val="Arial"/>
      <family val="2"/>
    </font>
    <font>
      <sz val="11"/>
      <name val="Arial"/>
      <family val="2"/>
    </font>
    <font>
      <sz val="11"/>
      <color indexed="8"/>
      <name val="Arial"/>
      <family val="2"/>
    </font>
    <font>
      <sz val="10"/>
      <color indexed="8"/>
      <name val="Arial"/>
      <family val="2"/>
    </font>
    <font>
      <b/>
      <sz val="11"/>
      <color indexed="8"/>
      <name val="Arial"/>
      <family val="2"/>
    </font>
    <font>
      <b/>
      <sz val="12"/>
      <color indexed="8"/>
      <name val="Arial"/>
      <family val="2"/>
    </font>
    <font>
      <sz val="11"/>
      <color indexed="12"/>
      <name val="Arial"/>
      <family val="2"/>
    </font>
    <font>
      <i/>
      <sz val="11"/>
      <color indexed="8"/>
      <name val="Arial"/>
      <family val="2"/>
    </font>
    <font>
      <b/>
      <sz val="10"/>
      <color indexed="8"/>
      <name val="Arial"/>
      <family val="2"/>
    </font>
    <font>
      <sz val="8"/>
      <name val="Calibri"/>
      <family val="2"/>
    </font>
    <font>
      <sz val="8"/>
      <name val="Calibri"/>
      <family val="2"/>
    </font>
    <font>
      <sz val="10"/>
      <name val="MS Sans Serif"/>
      <family val="2"/>
    </font>
    <font>
      <sz val="11"/>
      <color theme="1"/>
      <name val="Calibri"/>
      <family val="2"/>
      <scheme val="minor"/>
    </font>
    <font>
      <sz val="11"/>
      <color theme="0"/>
      <name val="Calibri"/>
      <family val="2"/>
      <scheme val="minor"/>
    </font>
    <font>
      <b/>
      <sz val="11"/>
      <color theme="1"/>
      <name val="Calibri"/>
      <family val="2"/>
      <scheme val="minor"/>
    </font>
    <font>
      <sz val="11"/>
      <color rgb="FFFF0000"/>
      <name val="Calibri"/>
      <family val="2"/>
      <scheme val="minor"/>
    </font>
    <font>
      <sz val="11"/>
      <color theme="1"/>
      <name val="Univers"/>
      <family val="2"/>
    </font>
    <font>
      <sz val="11"/>
      <color theme="1"/>
      <name val="Arial Narrow"/>
      <family val="2"/>
    </font>
    <font>
      <b/>
      <sz val="11.5"/>
      <color theme="1"/>
      <name val="Arial Narrow"/>
      <family val="2"/>
    </font>
    <font>
      <b/>
      <sz val="11"/>
      <color theme="1"/>
      <name val="Arial Narrow"/>
      <family val="2"/>
    </font>
    <font>
      <b/>
      <sz val="11"/>
      <color theme="1"/>
      <name val="Univers"/>
      <family val="2"/>
    </font>
    <font>
      <sz val="10"/>
      <color theme="1"/>
      <name val="Arial Narrow"/>
      <family val="2"/>
    </font>
    <font>
      <b/>
      <sz val="10"/>
      <color theme="1"/>
      <name val="Arial Narrow"/>
      <family val="2"/>
    </font>
    <font>
      <b/>
      <u/>
      <sz val="10"/>
      <color theme="1"/>
      <name val="Arial Narrow"/>
      <family val="2"/>
    </font>
    <font>
      <u/>
      <sz val="10"/>
      <color theme="1"/>
      <name val="Arial Narrow"/>
      <family val="2"/>
    </font>
    <font>
      <b/>
      <u/>
      <sz val="11"/>
      <color theme="1"/>
      <name val="Calibri"/>
      <family val="2"/>
      <scheme val="minor"/>
    </font>
    <font>
      <sz val="10"/>
      <color rgb="FFFF0000"/>
      <name val="Arial Narrow"/>
      <family val="2"/>
    </font>
    <font>
      <b/>
      <sz val="10"/>
      <color rgb="FFFF0000"/>
      <name val="Arial Narrow"/>
      <family val="2"/>
    </font>
    <font>
      <sz val="10"/>
      <color theme="0"/>
      <name val="Arial Narrow"/>
      <family val="2"/>
    </font>
    <font>
      <sz val="11"/>
      <color theme="0"/>
      <name val="Arial"/>
      <family val="2"/>
    </font>
    <font>
      <sz val="11"/>
      <color rgb="FF00CC99"/>
      <name val="Arial"/>
      <family val="2"/>
    </font>
    <font>
      <b/>
      <sz val="11"/>
      <color theme="1"/>
      <name val="Arial"/>
      <family val="2"/>
    </font>
    <font>
      <sz val="10"/>
      <color theme="0"/>
      <name val="Arial"/>
      <family val="2"/>
    </font>
    <font>
      <b/>
      <sz val="10"/>
      <color theme="0"/>
      <name val="Arial Narrow"/>
      <family val="2"/>
    </font>
    <font>
      <sz val="10"/>
      <color theme="1"/>
      <name val="Arial"/>
      <family val="2"/>
    </font>
    <font>
      <b/>
      <u/>
      <sz val="11"/>
      <color theme="1"/>
      <name val="Arial Narrow"/>
      <family val="2"/>
    </font>
    <font>
      <vertAlign val="superscript"/>
      <sz val="10"/>
      <color theme="1"/>
      <name val="Arial Narrow"/>
      <family val="2"/>
    </font>
    <font>
      <sz val="8"/>
      <name val="Calibri"/>
      <family val="2"/>
      <scheme val="minor"/>
    </font>
    <font>
      <sz val="11"/>
      <color theme="1"/>
      <name val="Arial"/>
      <family val="2"/>
    </font>
    <font>
      <b/>
      <sz val="11"/>
      <color theme="0"/>
      <name val="Calibri"/>
      <family val="2"/>
      <scheme val="minor"/>
    </font>
    <font>
      <b/>
      <sz val="11"/>
      <color theme="0"/>
      <name val="Arial Narrow"/>
      <family val="2"/>
    </font>
    <font>
      <sz val="10"/>
      <color theme="1"/>
      <name val="Times New Roman"/>
      <family val="1"/>
    </font>
    <font>
      <sz val="11"/>
      <color rgb="FFFF0000"/>
      <name val="Arial Narrow"/>
      <family val="2"/>
    </font>
    <font>
      <b/>
      <u/>
      <sz val="10"/>
      <color rgb="FFFF0000"/>
      <name val="Arial Narrow"/>
      <family val="2"/>
    </font>
    <font>
      <vertAlign val="superscript"/>
      <sz val="10"/>
      <color rgb="FFFF0000"/>
      <name val="Arial Narrow"/>
      <family val="2"/>
    </font>
    <font>
      <sz val="10"/>
      <color rgb="FFFF0000"/>
      <name val="Calibri"/>
      <family val="2"/>
    </font>
    <font>
      <sz val="10"/>
      <color rgb="FFFF0000"/>
      <name val="Calibri"/>
      <family val="2"/>
      <scheme val="minor"/>
    </font>
    <font>
      <i/>
      <sz val="10"/>
      <color rgb="FFFF0000"/>
      <name val="Arial Narrow"/>
      <family val="2"/>
    </font>
    <font>
      <b/>
      <i/>
      <sz val="10"/>
      <color rgb="FFFF0000"/>
      <name val="Arial Narrow"/>
      <family val="2"/>
    </font>
    <font>
      <sz val="10"/>
      <color theme="1"/>
      <name val="Calibri"/>
      <family val="2"/>
    </font>
    <font>
      <sz val="11"/>
      <color theme="0"/>
      <name val="Arial Narrow"/>
      <family val="2"/>
    </font>
    <font>
      <i/>
      <sz val="10"/>
      <name val="Arial Narrow"/>
      <family val="2"/>
    </font>
    <font>
      <b/>
      <i/>
      <sz val="10"/>
      <name val="Arial Narrow"/>
      <family val="2"/>
    </font>
    <font>
      <sz val="10"/>
      <name val="Calibri"/>
      <family val="2"/>
    </font>
    <font>
      <vertAlign val="superscript"/>
      <sz val="10"/>
      <name val="Arial Narrow"/>
      <family val="2"/>
    </font>
    <font>
      <b/>
      <sz val="10"/>
      <color theme="2"/>
      <name val="Arial Narrow"/>
      <family val="2"/>
    </font>
    <font>
      <b/>
      <sz val="10"/>
      <color theme="0" tint="-4.9989318521683403E-2"/>
      <name val="Arial Narrow"/>
      <family val="2"/>
    </font>
    <font>
      <sz val="10"/>
      <color theme="2"/>
      <name val="Arial Narrow"/>
      <family val="2"/>
    </font>
    <font>
      <b/>
      <sz val="10"/>
      <color theme="0" tint="-0.249977111117893"/>
      <name val="Arial Narrow"/>
      <family val="2"/>
    </font>
  </fonts>
  <fills count="16">
    <fill>
      <patternFill patternType="none"/>
    </fill>
    <fill>
      <patternFill patternType="gray125"/>
    </fill>
    <fill>
      <patternFill patternType="lightGray"/>
    </fill>
    <fill>
      <patternFill patternType="gray0625"/>
    </fill>
    <fill>
      <patternFill patternType="solid">
        <fgColor indexed="9"/>
      </patternFill>
    </fill>
    <fill>
      <patternFill patternType="gray125">
        <bgColor rgb="FFD9D9D9"/>
      </patternFill>
    </fill>
    <fill>
      <patternFill patternType="gray125">
        <bgColor rgb="FFE5E5E5"/>
      </patternFill>
    </fill>
    <fill>
      <patternFill patternType="gray0625">
        <bgColor rgb="FFF2F2F2"/>
      </patternFill>
    </fill>
    <fill>
      <patternFill patternType="solid">
        <fgColor rgb="FFFFFFFF"/>
        <bgColor indexed="64"/>
      </patternFill>
    </fill>
    <fill>
      <patternFill patternType="lightGray">
        <bgColor rgb="FFCCCCCC"/>
      </patternFill>
    </fill>
    <fill>
      <patternFill patternType="gray125">
        <fgColor rgb="FFFFFFFF"/>
        <bgColor rgb="FFFFFFFF"/>
      </patternFill>
    </fill>
    <fill>
      <patternFill patternType="lightGray">
        <bgColor rgb="FFFFFFFF"/>
      </patternFill>
    </fill>
    <fill>
      <patternFill patternType="solid">
        <fgColor theme="0" tint="-4.9989318521683403E-2"/>
        <bgColor indexed="64"/>
      </patternFill>
    </fill>
    <fill>
      <patternFill patternType="solid">
        <fgColor theme="0"/>
        <bgColor indexed="64"/>
      </patternFill>
    </fill>
    <fill>
      <patternFill patternType="solid">
        <fgColor theme="3"/>
        <bgColor indexed="64"/>
      </patternFill>
    </fill>
    <fill>
      <patternFill patternType="lightGray">
        <bgColor rgb="FFD9D9D9"/>
      </patternFill>
    </fill>
  </fills>
  <borders count="61">
    <border>
      <left/>
      <right/>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thick">
        <color indexed="64"/>
      </right>
      <top style="medium">
        <color indexed="64"/>
      </top>
      <bottom/>
      <diagonal/>
    </border>
    <border>
      <left style="medium">
        <color indexed="64"/>
      </left>
      <right/>
      <top style="medium">
        <color indexed="64"/>
      </top>
      <bottom/>
      <diagonal/>
    </border>
    <border>
      <left/>
      <right/>
      <top style="medium">
        <color indexed="64"/>
      </top>
      <bottom style="medium">
        <color indexed="64"/>
      </bottom>
      <diagonal/>
    </border>
    <border>
      <left style="medium">
        <color indexed="64"/>
      </left>
      <right style="medium">
        <color indexed="64"/>
      </right>
      <top/>
      <bottom/>
      <diagonal/>
    </border>
    <border>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style="thick">
        <color indexed="64"/>
      </left>
      <right style="medium">
        <color indexed="64"/>
      </right>
      <top style="medium">
        <color indexed="64"/>
      </top>
      <bottom/>
      <diagonal/>
    </border>
    <border>
      <left style="medium">
        <color indexed="64"/>
      </left>
      <right style="thick">
        <color indexed="64"/>
      </right>
      <top style="medium">
        <color indexed="64"/>
      </top>
      <bottom/>
      <diagonal/>
    </border>
    <border>
      <left/>
      <right style="medium">
        <color indexed="64"/>
      </right>
      <top style="thick">
        <color indexed="64"/>
      </top>
      <bottom/>
      <diagonal/>
    </border>
    <border>
      <left/>
      <right/>
      <top style="thick">
        <color indexed="64"/>
      </top>
      <bottom/>
      <diagonal/>
    </border>
    <border>
      <left style="medium">
        <color indexed="64"/>
      </left>
      <right style="medium">
        <color indexed="64"/>
      </right>
      <top style="thick">
        <color indexed="64"/>
      </top>
      <bottom/>
      <diagonal/>
    </border>
    <border>
      <left style="medium">
        <color indexed="64"/>
      </left>
      <right style="medium">
        <color indexed="64"/>
      </right>
      <top style="medium">
        <color indexed="64"/>
      </top>
      <bottom style="thick">
        <color indexed="64"/>
      </bottom>
      <diagonal/>
    </border>
    <border>
      <left style="thin">
        <color indexed="64"/>
      </left>
      <right style="thin">
        <color indexed="64"/>
      </right>
      <top/>
      <bottom/>
      <diagonal/>
    </border>
    <border>
      <left style="medium">
        <color indexed="64"/>
      </left>
      <right style="thick">
        <color indexed="64"/>
      </right>
      <top/>
      <bottom style="medium">
        <color indexed="64"/>
      </bottom>
      <diagonal/>
    </border>
    <border>
      <left style="thick">
        <color indexed="64"/>
      </left>
      <right style="medium">
        <color indexed="64"/>
      </right>
      <top/>
      <bottom style="medium">
        <color indexed="64"/>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right style="thin">
        <color indexed="8"/>
      </right>
      <top style="medium">
        <color indexed="8"/>
      </top>
      <bottom/>
      <diagonal/>
    </border>
    <border>
      <left style="thin">
        <color indexed="8"/>
      </left>
      <right style="medium">
        <color indexed="8"/>
      </right>
      <top style="medium">
        <color indexed="8"/>
      </top>
      <bottom/>
      <diagonal/>
    </border>
    <border>
      <left style="thin">
        <color indexed="8"/>
      </left>
      <right style="medium">
        <color indexed="8"/>
      </right>
      <top/>
      <bottom/>
      <diagonal/>
    </border>
    <border>
      <left/>
      <right style="thin">
        <color indexed="8"/>
      </right>
      <top/>
      <bottom/>
      <diagonal/>
    </border>
    <border>
      <left style="medium">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medium">
        <color indexed="8"/>
      </right>
      <top/>
      <bottom style="thin">
        <color indexed="8"/>
      </bottom>
      <diagonal/>
    </border>
    <border>
      <left style="medium">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8"/>
      </left>
      <right/>
      <top style="thin">
        <color indexed="64"/>
      </top>
      <bottom style="thin">
        <color indexed="64"/>
      </bottom>
      <diagonal/>
    </border>
    <border>
      <left/>
      <right/>
      <top style="thin">
        <color indexed="64"/>
      </top>
      <bottom style="thin">
        <color indexed="64"/>
      </bottom>
      <diagonal/>
    </border>
    <border>
      <left/>
      <right style="medium">
        <color indexed="8"/>
      </right>
      <top style="medium">
        <color indexed="8"/>
      </top>
      <bottom style="thin">
        <color indexed="64"/>
      </bottom>
      <diagonal/>
    </border>
    <border>
      <left/>
      <right style="medium">
        <color indexed="8"/>
      </right>
      <top style="thin">
        <color indexed="64"/>
      </top>
      <bottom style="thin">
        <color indexed="64"/>
      </bottom>
      <diagonal/>
    </border>
    <border>
      <left/>
      <right style="medium">
        <color indexed="8"/>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23">
    <xf numFmtId="0" fontId="0" fillId="0" borderId="0"/>
    <xf numFmtId="165" fontId="21"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12" fillId="0" borderId="0" applyNumberFormat="0" applyFill="0" applyBorder="0" applyProtection="0"/>
    <xf numFmtId="0" fontId="6" fillId="0" borderId="0"/>
    <xf numFmtId="0" fontId="8" fillId="0" borderId="0"/>
    <xf numFmtId="0" fontId="20" fillId="0" borderId="0"/>
    <xf numFmtId="0" fontId="8" fillId="0" borderId="0"/>
    <xf numFmtId="0" fontId="8" fillId="0" borderId="0"/>
    <xf numFmtId="0" fontId="8" fillId="0" borderId="0"/>
    <xf numFmtId="0" fontId="8"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8" fillId="0" borderId="0">
      <alignment vertical="top"/>
    </xf>
  </cellStyleXfs>
  <cellXfs count="1126">
    <xf numFmtId="0" fontId="0" fillId="0" borderId="0" xfId="0"/>
    <xf numFmtId="0" fontId="25" fillId="0" borderId="0" xfId="0" applyFont="1"/>
    <xf numFmtId="0" fontId="26" fillId="0" borderId="0" xfId="0" applyFont="1"/>
    <xf numFmtId="0" fontId="27" fillId="0" borderId="0" xfId="0" applyFont="1" applyAlignment="1">
      <alignment horizontal="justify"/>
    </xf>
    <xf numFmtId="0" fontId="28" fillId="5" borderId="1" xfId="0" applyFont="1" applyFill="1" applyBorder="1" applyAlignment="1">
      <alignment horizontal="center" vertical="top" wrapText="1"/>
    </xf>
    <xf numFmtId="0" fontId="29" fillId="0" borderId="0" xfId="0" applyFont="1"/>
    <xf numFmtId="0" fontId="26" fillId="0" borderId="2" xfId="0" applyFont="1" applyBorder="1" applyAlignment="1">
      <alignment vertical="top" wrapText="1"/>
    </xf>
    <xf numFmtId="0" fontId="31" fillId="0" borderId="1" xfId="0" applyFont="1" applyBorder="1" applyAlignment="1">
      <alignment horizontal="justify" vertical="top" wrapText="1"/>
    </xf>
    <xf numFmtId="0" fontId="31" fillId="0" borderId="1" xfId="0" applyFont="1" applyBorder="1" applyAlignment="1">
      <alignment vertical="top" wrapText="1"/>
    </xf>
    <xf numFmtId="0" fontId="31" fillId="0" borderId="4" xfId="0" applyFont="1" applyBorder="1" applyAlignment="1">
      <alignment vertical="top" wrapText="1"/>
    </xf>
    <xf numFmtId="0" fontId="30" fillId="0" borderId="4" xfId="0" applyFont="1" applyBorder="1" applyAlignment="1">
      <alignment vertical="top" wrapText="1"/>
    </xf>
    <xf numFmtId="0" fontId="30" fillId="5" borderId="5" xfId="0" applyFont="1" applyFill="1" applyBorder="1" applyAlignment="1">
      <alignment horizontal="center" vertical="top" wrapText="1"/>
    </xf>
    <xf numFmtId="0" fontId="30" fillId="0" borderId="4" xfId="0" applyFont="1" applyBorder="1" applyAlignment="1">
      <alignment horizontal="center" vertical="top" wrapText="1"/>
    </xf>
    <xf numFmtId="0" fontId="31" fillId="0" borderId="7" xfId="0" applyFont="1" applyBorder="1" applyAlignment="1">
      <alignment vertical="top" wrapText="1"/>
    </xf>
    <xf numFmtId="0" fontId="31" fillId="6" borderId="8" xfId="0" applyFont="1" applyFill="1" applyBorder="1" applyAlignment="1">
      <alignment vertical="center" wrapText="1"/>
    </xf>
    <xf numFmtId="0" fontId="31" fillId="6" borderId="4" xfId="0" applyFont="1" applyFill="1" applyBorder="1" applyAlignment="1">
      <alignment horizontal="center" vertical="center" wrapText="1"/>
    </xf>
    <xf numFmtId="0" fontId="31" fillId="0" borderId="9" xfId="0" applyFont="1" applyBorder="1" applyAlignment="1">
      <alignment horizontal="center" vertical="center" wrapText="1"/>
    </xf>
    <xf numFmtId="0" fontId="31" fillId="5" borderId="9" xfId="0" applyFont="1" applyFill="1" applyBorder="1" applyAlignment="1">
      <alignment horizontal="center" vertical="center" wrapText="1"/>
    </xf>
    <xf numFmtId="0" fontId="31" fillId="6" borderId="10" xfId="0" applyFont="1" applyFill="1" applyBorder="1" applyAlignment="1">
      <alignment vertical="center" wrapText="1"/>
    </xf>
    <xf numFmtId="0" fontId="30" fillId="0" borderId="10" xfId="0" applyFont="1" applyBorder="1" applyAlignment="1">
      <alignment horizontal="center" vertical="center" wrapText="1"/>
    </xf>
    <xf numFmtId="166" fontId="30" fillId="0" borderId="1" xfId="0" applyNumberFormat="1" applyFont="1" applyBorder="1" applyAlignment="1">
      <alignment vertical="center" wrapText="1"/>
    </xf>
    <xf numFmtId="166" fontId="30" fillId="0" borderId="5" xfId="0" applyNumberFormat="1" applyFont="1" applyBorder="1" applyAlignment="1">
      <alignment vertical="center" wrapText="1"/>
    </xf>
    <xf numFmtId="0" fontId="30" fillId="0" borderId="11" xfId="0" applyFont="1" applyBorder="1" applyAlignment="1">
      <alignment vertical="center" wrapText="1"/>
    </xf>
    <xf numFmtId="0" fontId="30" fillId="5" borderId="1" xfId="0" applyFont="1" applyFill="1" applyBorder="1" applyAlignment="1">
      <alignment vertical="center" wrapText="1"/>
    </xf>
    <xf numFmtId="0" fontId="30" fillId="5" borderId="5" xfId="0" applyFont="1" applyFill="1" applyBorder="1" applyAlignment="1">
      <alignment vertical="center" wrapText="1"/>
    </xf>
    <xf numFmtId="166" fontId="30" fillId="2" borderId="1" xfId="0" applyNumberFormat="1" applyFont="1" applyFill="1" applyBorder="1" applyAlignment="1">
      <alignment vertical="center" wrapText="1"/>
    </xf>
    <xf numFmtId="166" fontId="30" fillId="2" borderId="5" xfId="0" applyNumberFormat="1" applyFont="1" applyFill="1" applyBorder="1" applyAlignment="1">
      <alignment vertical="center" wrapText="1"/>
    </xf>
    <xf numFmtId="0" fontId="30" fillId="0" borderId="12" xfId="0" applyFont="1" applyBorder="1" applyAlignment="1">
      <alignment vertical="center" wrapText="1"/>
    </xf>
    <xf numFmtId="0" fontId="31" fillId="7" borderId="5" xfId="0" applyFont="1" applyFill="1" applyBorder="1" applyAlignment="1">
      <alignment horizontal="right" vertical="center" wrapText="1"/>
    </xf>
    <xf numFmtId="0" fontId="30" fillId="0" borderId="5" xfId="0" applyFont="1" applyBorder="1" applyAlignment="1">
      <alignment vertical="center" wrapText="1"/>
    </xf>
    <xf numFmtId="0" fontId="30" fillId="0" borderId="5" xfId="0" applyFont="1" applyBorder="1" applyAlignment="1">
      <alignment horizontal="center" vertical="center" wrapText="1"/>
    </xf>
    <xf numFmtId="166" fontId="30" fillId="0" borderId="10" xfId="0" applyNumberFormat="1" applyFont="1" applyBorder="1" applyAlignment="1">
      <alignment vertical="center" wrapText="1"/>
    </xf>
    <xf numFmtId="0" fontId="30" fillId="0" borderId="0" xfId="0" applyFont="1" applyAlignment="1">
      <alignment vertical="center" wrapText="1"/>
    </xf>
    <xf numFmtId="0" fontId="31" fillId="6" borderId="13" xfId="0" applyFont="1" applyFill="1" applyBorder="1" applyAlignment="1">
      <alignment horizontal="center" vertical="top" wrapText="1"/>
    </xf>
    <xf numFmtId="0" fontId="31" fillId="7" borderId="5" xfId="0" applyFont="1" applyFill="1" applyBorder="1" applyAlignment="1">
      <alignment horizontal="right" vertical="top" wrapText="1"/>
    </xf>
    <xf numFmtId="0" fontId="31" fillId="6" borderId="7" xfId="0" applyFont="1" applyFill="1" applyBorder="1" applyAlignment="1">
      <alignment horizontal="center" vertical="center" wrapText="1"/>
    </xf>
    <xf numFmtId="0" fontId="31" fillId="6" borderId="2" xfId="0" applyFont="1" applyFill="1" applyBorder="1" applyAlignment="1">
      <alignment horizontal="center" vertical="center" wrapText="1"/>
    </xf>
    <xf numFmtId="0" fontId="31" fillId="6" borderId="9" xfId="0" applyFont="1" applyFill="1" applyBorder="1" applyAlignment="1">
      <alignment horizontal="center" vertical="center" wrapText="1"/>
    </xf>
    <xf numFmtId="0" fontId="0" fillId="0" borderId="4" xfId="0" applyBorder="1"/>
    <xf numFmtId="0" fontId="30" fillId="5" borderId="1" xfId="0" applyFont="1" applyFill="1" applyBorder="1" applyAlignment="1">
      <alignment horizontal="center" vertical="top" wrapText="1"/>
    </xf>
    <xf numFmtId="0" fontId="30" fillId="5" borderId="5" xfId="0" applyFont="1" applyFill="1" applyBorder="1" applyAlignment="1">
      <alignment vertical="top" wrapText="1"/>
    </xf>
    <xf numFmtId="0" fontId="31" fillId="0" borderId="2" xfId="0" applyFont="1" applyBorder="1" applyAlignment="1">
      <alignment vertical="center" wrapText="1"/>
    </xf>
    <xf numFmtId="0" fontId="30" fillId="5" borderId="5" xfId="0" applyFont="1" applyFill="1" applyBorder="1" applyAlignment="1">
      <alignment horizontal="center" vertical="center" wrapText="1"/>
    </xf>
    <xf numFmtId="0" fontId="30" fillId="5" borderId="1" xfId="0" applyFont="1" applyFill="1" applyBorder="1" applyAlignment="1">
      <alignment horizontal="center" vertical="center" wrapText="1"/>
    </xf>
    <xf numFmtId="0" fontId="30" fillId="0" borderId="6" xfId="0" applyFont="1" applyBorder="1" applyAlignment="1">
      <alignment vertical="center" wrapText="1"/>
    </xf>
    <xf numFmtId="166" fontId="30" fillId="8" borderId="14" xfId="0" applyNumberFormat="1" applyFont="1" applyFill="1" applyBorder="1" applyAlignment="1">
      <alignment vertical="center" wrapText="1"/>
    </xf>
    <xf numFmtId="166" fontId="30" fillId="0" borderId="1" xfId="0" applyNumberFormat="1" applyFont="1" applyBorder="1" applyAlignment="1">
      <alignment horizontal="center" vertical="center" wrapText="1"/>
    </xf>
    <xf numFmtId="166" fontId="30" fillId="0" borderId="15" xfId="0" applyNumberFormat="1" applyFont="1" applyBorder="1" applyAlignment="1">
      <alignment vertical="center" wrapText="1"/>
    </xf>
    <xf numFmtId="0" fontId="30" fillId="0" borderId="11" xfId="0" applyFont="1" applyBorder="1" applyAlignment="1">
      <alignment horizontal="justify" vertical="center" wrapText="1"/>
    </xf>
    <xf numFmtId="0" fontId="30" fillId="8" borderId="4" xfId="0" applyFont="1" applyFill="1" applyBorder="1" applyAlignment="1">
      <alignment horizontal="center" vertical="center" wrapText="1"/>
    </xf>
    <xf numFmtId="166" fontId="30" fillId="0" borderId="4" xfId="0" applyNumberFormat="1" applyFont="1" applyBorder="1" applyAlignment="1">
      <alignment vertical="top" wrapText="1"/>
    </xf>
    <xf numFmtId="0" fontId="30" fillId="8" borderId="5" xfId="0" applyFont="1" applyFill="1" applyBorder="1" applyAlignment="1">
      <alignment horizontal="center" vertical="center" wrapText="1"/>
    </xf>
    <xf numFmtId="0" fontId="31" fillId="5" borderId="1" xfId="0" applyFont="1" applyFill="1" applyBorder="1" applyAlignment="1">
      <alignment horizontal="center" vertical="top" wrapText="1"/>
    </xf>
    <xf numFmtId="0" fontId="23" fillId="0" borderId="0" xfId="0" applyFont="1"/>
    <xf numFmtId="0" fontId="31" fillId="5" borderId="9" xfId="0" applyFont="1" applyFill="1" applyBorder="1" applyAlignment="1">
      <alignment horizontal="center" vertical="top" wrapText="1"/>
    </xf>
    <xf numFmtId="0" fontId="31" fillId="0" borderId="13" xfId="0" applyFont="1" applyBorder="1" applyAlignment="1">
      <alignment horizontal="center" vertical="top" wrapText="1"/>
    </xf>
    <xf numFmtId="0" fontId="30" fillId="5" borderId="1" xfId="0" applyFont="1" applyFill="1" applyBorder="1" applyAlignment="1">
      <alignment vertical="top" wrapText="1"/>
    </xf>
    <xf numFmtId="0" fontId="31" fillId="0" borderId="12" xfId="0" applyFont="1" applyBorder="1" applyAlignment="1">
      <alignment horizontal="center" vertical="top" wrapText="1"/>
    </xf>
    <xf numFmtId="0" fontId="30" fillId="0" borderId="0" xfId="0" applyFont="1" applyAlignment="1">
      <alignment horizontal="center" vertical="center" wrapText="1"/>
    </xf>
    <xf numFmtId="0" fontId="31" fillId="0" borderId="12" xfId="0" applyFont="1" applyBorder="1" applyAlignment="1">
      <alignment horizontal="center" vertical="center" wrapText="1"/>
    </xf>
    <xf numFmtId="0" fontId="31" fillId="5" borderId="2" xfId="0" applyFont="1" applyFill="1" applyBorder="1" applyAlignment="1">
      <alignment horizontal="center" vertical="top" wrapText="1"/>
    </xf>
    <xf numFmtId="0" fontId="31" fillId="5" borderId="5" xfId="0" applyFont="1" applyFill="1" applyBorder="1" applyAlignment="1">
      <alignment horizontal="center" vertical="top" wrapText="1"/>
    </xf>
    <xf numFmtId="0" fontId="31" fillId="6" borderId="16" xfId="0" applyFont="1" applyFill="1" applyBorder="1" applyAlignment="1">
      <alignment horizontal="center" vertical="top" wrapText="1"/>
    </xf>
    <xf numFmtId="0" fontId="31" fillId="5" borderId="3" xfId="0" applyFont="1" applyFill="1" applyBorder="1" applyAlignment="1">
      <alignment horizontal="center" vertical="top" wrapText="1"/>
    </xf>
    <xf numFmtId="0" fontId="30" fillId="5" borderId="11" xfId="0" applyFont="1" applyFill="1" applyBorder="1" applyAlignment="1">
      <alignment vertical="top" wrapText="1"/>
    </xf>
    <xf numFmtId="0" fontId="30" fillId="5" borderId="16" xfId="0" applyFont="1" applyFill="1" applyBorder="1" applyAlignment="1">
      <alignment vertical="top" wrapText="1"/>
    </xf>
    <xf numFmtId="0" fontId="30" fillId="0" borderId="13" xfId="0" applyFont="1" applyBorder="1" applyAlignment="1">
      <alignment vertical="top" wrapText="1"/>
    </xf>
    <xf numFmtId="0" fontId="31" fillId="5" borderId="8" xfId="0" applyFont="1" applyFill="1" applyBorder="1" applyAlignment="1">
      <alignment vertical="top" wrapText="1"/>
    </xf>
    <xf numFmtId="0" fontId="31" fillId="5" borderId="4" xfId="0" applyFont="1" applyFill="1" applyBorder="1" applyAlignment="1">
      <alignment horizontal="center" vertical="top" wrapText="1"/>
    </xf>
    <xf numFmtId="0" fontId="30" fillId="5" borderId="4" xfId="0" applyFont="1" applyFill="1" applyBorder="1" applyAlignment="1">
      <alignment vertical="top" wrapText="1"/>
    </xf>
    <xf numFmtId="0" fontId="31" fillId="5" borderId="5" xfId="0" applyFont="1" applyFill="1" applyBorder="1" applyAlignment="1">
      <alignment vertical="top" wrapText="1"/>
    </xf>
    <xf numFmtId="166" fontId="30" fillId="2" borderId="15" xfId="0" applyNumberFormat="1" applyFont="1" applyFill="1" applyBorder="1" applyAlignment="1">
      <alignment vertical="center" wrapText="1"/>
    </xf>
    <xf numFmtId="0" fontId="30" fillId="0" borderId="4" xfId="0" applyFont="1" applyBorder="1" applyAlignment="1">
      <alignment horizontal="center" vertical="center" wrapText="1"/>
    </xf>
    <xf numFmtId="166" fontId="30" fillId="0" borderId="4" xfId="0" applyNumberFormat="1" applyFont="1" applyBorder="1" applyAlignment="1">
      <alignment vertical="center" wrapText="1"/>
    </xf>
    <xf numFmtId="0" fontId="30" fillId="0" borderId="4" xfId="0" applyFont="1" applyBorder="1" applyAlignment="1">
      <alignment horizontal="justify" vertical="center" wrapText="1"/>
    </xf>
    <xf numFmtId="0" fontId="30" fillId="0" borderId="10" xfId="0" applyFont="1" applyBorder="1" applyAlignment="1">
      <alignment horizontal="justify" vertical="center" wrapText="1"/>
    </xf>
    <xf numFmtId="0" fontId="30" fillId="0" borderId="12" xfId="0" applyFont="1" applyBorder="1" applyAlignment="1">
      <alignment horizontal="center" vertical="center" wrapText="1"/>
    </xf>
    <xf numFmtId="166" fontId="30" fillId="0" borderId="4" xfId="0" applyNumberFormat="1" applyFont="1" applyBorder="1" applyAlignment="1">
      <alignment horizontal="center" vertical="center" wrapText="1"/>
    </xf>
    <xf numFmtId="166" fontId="30" fillId="0" borderId="5" xfId="0" applyNumberFormat="1" applyFont="1" applyBorder="1" applyAlignment="1">
      <alignment horizontal="center" vertical="center" wrapText="1"/>
    </xf>
    <xf numFmtId="0" fontId="30" fillId="5" borderId="9" xfId="0" applyFont="1" applyFill="1" applyBorder="1" applyAlignment="1">
      <alignment vertical="center" wrapText="1"/>
    </xf>
    <xf numFmtId="0" fontId="30" fillId="2" borderId="5" xfId="0" applyFont="1" applyFill="1" applyBorder="1" applyAlignment="1">
      <alignment vertical="center" wrapText="1"/>
    </xf>
    <xf numFmtId="0" fontId="30" fillId="0" borderId="12" xfId="0" applyFont="1" applyBorder="1" applyAlignment="1">
      <alignment horizontal="justify" vertical="center" wrapText="1"/>
    </xf>
    <xf numFmtId="0" fontId="31" fillId="5" borderId="1" xfId="0" applyFont="1" applyFill="1" applyBorder="1" applyAlignment="1">
      <alignment wrapText="1"/>
    </xf>
    <xf numFmtId="0" fontId="31" fillId="5" borderId="5" xfId="0" applyFont="1" applyFill="1" applyBorder="1" applyAlignment="1">
      <alignment horizontal="center" wrapText="1"/>
    </xf>
    <xf numFmtId="0" fontId="31" fillId="5" borderId="9" xfId="0" applyFont="1" applyFill="1" applyBorder="1" applyAlignment="1">
      <alignment horizontal="center" wrapText="1"/>
    </xf>
    <xf numFmtId="0" fontId="31" fillId="0" borderId="14" xfId="0" applyFont="1" applyBorder="1" applyAlignment="1">
      <alignment wrapText="1"/>
    </xf>
    <xf numFmtId="0" fontId="30" fillId="5" borderId="14" xfId="0" applyFont="1" applyFill="1" applyBorder="1" applyAlignment="1">
      <alignment horizontal="center" wrapText="1"/>
    </xf>
    <xf numFmtId="0" fontId="30" fillId="5" borderId="1" xfId="0" applyFont="1" applyFill="1" applyBorder="1" applyAlignment="1">
      <alignment wrapText="1"/>
    </xf>
    <xf numFmtId="0" fontId="30" fillId="5" borderId="5" xfId="0" applyFont="1" applyFill="1" applyBorder="1" applyAlignment="1">
      <alignment wrapText="1"/>
    </xf>
    <xf numFmtId="0" fontId="30" fillId="5" borderId="9" xfId="0" applyFont="1" applyFill="1" applyBorder="1" applyAlignment="1">
      <alignment wrapText="1"/>
    </xf>
    <xf numFmtId="0" fontId="30" fillId="0" borderId="10" xfId="0" applyFont="1" applyBorder="1" applyAlignment="1">
      <alignment vertical="center" wrapText="1"/>
    </xf>
    <xf numFmtId="0" fontId="31" fillId="6" borderId="8" xfId="0" applyFont="1" applyFill="1" applyBorder="1" applyAlignment="1">
      <alignment horizontal="center" vertical="center" wrapText="1"/>
    </xf>
    <xf numFmtId="0" fontId="30" fillId="0" borderId="7" xfId="0" applyFont="1" applyBorder="1" applyAlignment="1">
      <alignment horizontal="center" vertical="center" wrapText="1"/>
    </xf>
    <xf numFmtId="166" fontId="30" fillId="2" borderId="1" xfId="0" applyNumberFormat="1" applyFont="1" applyFill="1" applyBorder="1" applyAlignment="1">
      <alignment horizontal="center" vertical="center" wrapText="1"/>
    </xf>
    <xf numFmtId="166" fontId="30" fillId="2" borderId="5" xfId="0" applyNumberFormat="1" applyFont="1" applyFill="1" applyBorder="1" applyAlignment="1">
      <alignment horizontal="center" vertical="center" wrapText="1"/>
    </xf>
    <xf numFmtId="0" fontId="31" fillId="6" borderId="10" xfId="0" applyFont="1" applyFill="1" applyBorder="1" applyAlignment="1">
      <alignment horizontal="center" vertical="center" wrapText="1"/>
    </xf>
    <xf numFmtId="0" fontId="30" fillId="0" borderId="16" xfId="0" applyFont="1" applyBorder="1" applyAlignment="1">
      <alignment horizontal="center" vertical="center" wrapText="1"/>
    </xf>
    <xf numFmtId="0" fontId="34" fillId="0" borderId="0" xfId="0" applyFont="1"/>
    <xf numFmtId="0" fontId="30" fillId="2" borderId="14" xfId="0" applyFont="1" applyFill="1" applyBorder="1" applyAlignment="1">
      <alignment horizontal="center" vertical="center" wrapText="1"/>
    </xf>
    <xf numFmtId="0" fontId="30" fillId="2" borderId="4" xfId="0" applyFont="1" applyFill="1" applyBorder="1" applyAlignment="1">
      <alignment horizontal="center" wrapText="1"/>
    </xf>
    <xf numFmtId="0" fontId="30" fillId="2" borderId="21" xfId="0" applyFont="1" applyFill="1" applyBorder="1" applyAlignment="1">
      <alignment vertical="center" wrapText="1"/>
    </xf>
    <xf numFmtId="166" fontId="30" fillId="2" borderId="3" xfId="0" applyNumberFormat="1" applyFont="1" applyFill="1" applyBorder="1" applyAlignment="1">
      <alignment vertical="center" wrapText="1"/>
    </xf>
    <xf numFmtId="166" fontId="30" fillId="2" borderId="0" xfId="0" applyNumberFormat="1" applyFont="1" applyFill="1" applyAlignment="1">
      <alignment vertical="center" wrapText="1"/>
    </xf>
    <xf numFmtId="0" fontId="30" fillId="2" borderId="9" xfId="0" applyFont="1" applyFill="1" applyBorder="1" applyAlignment="1">
      <alignment vertical="center" wrapText="1"/>
    </xf>
    <xf numFmtId="0" fontId="30" fillId="2" borderId="4" xfId="0" applyFont="1" applyFill="1" applyBorder="1" applyAlignment="1">
      <alignment horizontal="center" vertical="top" wrapText="1"/>
    </xf>
    <xf numFmtId="0" fontId="30" fillId="2" borderId="4" xfId="0" applyFont="1" applyFill="1" applyBorder="1" applyAlignment="1">
      <alignment vertical="top" wrapText="1"/>
    </xf>
    <xf numFmtId="0" fontId="31" fillId="5" borderId="7" xfId="0" applyFont="1" applyFill="1" applyBorder="1" applyAlignment="1">
      <alignment horizontal="center" vertical="center" wrapText="1"/>
    </xf>
    <xf numFmtId="0" fontId="31" fillId="5" borderId="15" xfId="0" applyFont="1" applyFill="1" applyBorder="1" applyAlignment="1">
      <alignment horizontal="center" vertical="center" wrapText="1"/>
    </xf>
    <xf numFmtId="0" fontId="30" fillId="0" borderId="14" xfId="0" applyFont="1" applyBorder="1" applyAlignment="1">
      <alignment horizontal="justify" vertical="center" wrapText="1"/>
    </xf>
    <xf numFmtId="0" fontId="32" fillId="0" borderId="14" xfId="0" applyFont="1" applyBorder="1" applyAlignment="1">
      <alignment horizontal="justify" vertical="center" wrapText="1"/>
    </xf>
    <xf numFmtId="0" fontId="30" fillId="11" borderId="5" xfId="0" applyFont="1" applyFill="1" applyBorder="1" applyAlignment="1">
      <alignment horizontal="center" vertical="center" wrapText="1"/>
    </xf>
    <xf numFmtId="0" fontId="30" fillId="11" borderId="14"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5" xfId="0" applyFont="1" applyFill="1" applyBorder="1" applyAlignment="1">
      <alignment horizontal="center" vertical="center" wrapText="1"/>
    </xf>
    <xf numFmtId="0" fontId="31" fillId="0" borderId="0" xfId="0" applyFont="1" applyAlignment="1">
      <alignment vertical="center" wrapText="1"/>
    </xf>
    <xf numFmtId="0" fontId="32" fillId="0" borderId="10" xfId="0" applyFont="1" applyBorder="1" applyAlignment="1">
      <alignment vertical="center" wrapText="1"/>
    </xf>
    <xf numFmtId="0" fontId="31" fillId="0" borderId="11" xfId="0" applyFont="1" applyBorder="1" applyAlignment="1">
      <alignment horizontal="center" vertical="top" wrapText="1"/>
    </xf>
    <xf numFmtId="0" fontId="31" fillId="5" borderId="1" xfId="0" applyFont="1" applyFill="1" applyBorder="1" applyAlignment="1">
      <alignment horizontal="center" vertical="center" wrapText="1"/>
    </xf>
    <xf numFmtId="0" fontId="30" fillId="2" borderId="13" xfId="0" applyFont="1" applyFill="1" applyBorder="1" applyAlignment="1">
      <alignment horizontal="center" vertical="center" wrapText="1"/>
    </xf>
    <xf numFmtId="0" fontId="30" fillId="0" borderId="4" xfId="0" applyFont="1" applyBorder="1" applyAlignment="1">
      <alignment vertical="center" wrapText="1"/>
    </xf>
    <xf numFmtId="0" fontId="31" fillId="0" borderId="4" xfId="0" applyFont="1" applyBorder="1" applyAlignment="1">
      <alignment horizontal="center" vertical="center" wrapText="1"/>
    </xf>
    <xf numFmtId="166" fontId="0" fillId="0" borderId="0" xfId="0" applyNumberFormat="1"/>
    <xf numFmtId="0" fontId="30" fillId="0" borderId="1" xfId="0" applyFont="1" applyBorder="1" applyAlignment="1">
      <alignment vertical="center" wrapText="1"/>
    </xf>
    <xf numFmtId="0" fontId="30" fillId="0" borderId="22" xfId="0" applyFont="1" applyBorder="1" applyAlignment="1">
      <alignment horizontal="center" vertical="center" wrapText="1"/>
    </xf>
    <xf numFmtId="0" fontId="30" fillId="0" borderId="15" xfId="0" applyFont="1" applyBorder="1" applyAlignment="1">
      <alignment horizontal="center" vertical="center" wrapText="1"/>
    </xf>
    <xf numFmtId="0" fontId="30" fillId="0" borderId="14" xfId="0" applyFont="1" applyBorder="1" applyAlignment="1">
      <alignment horizontal="center" vertical="top" wrapText="1"/>
    </xf>
    <xf numFmtId="166" fontId="23" fillId="0" borderId="0" xfId="0" applyNumberFormat="1" applyFont="1"/>
    <xf numFmtId="166" fontId="30" fillId="8" borderId="4" xfId="0" applyNumberFormat="1" applyFont="1" applyFill="1" applyBorder="1" applyAlignment="1">
      <alignment vertical="center" wrapText="1"/>
    </xf>
    <xf numFmtId="0" fontId="31" fillId="0" borderId="14" xfId="0" applyFont="1" applyBorder="1" applyAlignment="1">
      <alignment vertical="top" wrapText="1"/>
    </xf>
    <xf numFmtId="0" fontId="31" fillId="0" borderId="7" xfId="0" applyFont="1" applyBorder="1" applyAlignment="1">
      <alignment horizontal="center" vertical="center" wrapText="1"/>
    </xf>
    <xf numFmtId="0" fontId="31" fillId="0" borderId="2" xfId="0" applyFont="1" applyBorder="1" applyAlignment="1">
      <alignment horizontal="center" vertical="center" wrapText="1"/>
    </xf>
    <xf numFmtId="0" fontId="28" fillId="0" borderId="0" xfId="0" applyFont="1" applyAlignment="1">
      <alignment horizontal="center" vertical="center"/>
    </xf>
    <xf numFmtId="0" fontId="0" fillId="0" borderId="0" xfId="0" applyAlignment="1">
      <alignment horizontal="center" vertical="center"/>
    </xf>
    <xf numFmtId="0" fontId="27" fillId="0" borderId="0" xfId="0" applyFont="1" applyAlignment="1">
      <alignment horizontal="center" vertical="center"/>
    </xf>
    <xf numFmtId="0" fontId="28" fillId="5" borderId="15" xfId="0" applyFont="1" applyFill="1" applyBorder="1" applyAlignment="1">
      <alignment horizontal="center" vertical="center" wrapText="1"/>
    </xf>
    <xf numFmtId="0" fontId="31" fillId="0" borderId="15" xfId="0" applyFont="1" applyBorder="1" applyAlignment="1">
      <alignment horizontal="center" vertical="center" wrapText="1"/>
    </xf>
    <xf numFmtId="0" fontId="30" fillId="0" borderId="4" xfId="0" applyFont="1" applyBorder="1" applyAlignment="1">
      <alignment horizontal="center" wrapText="1"/>
    </xf>
    <xf numFmtId="0" fontId="30" fillId="0" borderId="1" xfId="0" applyFont="1" applyBorder="1" applyAlignment="1">
      <alignment vertical="top" wrapText="1"/>
    </xf>
    <xf numFmtId="0" fontId="30" fillId="2" borderId="1" xfId="0" applyFont="1" applyFill="1" applyBorder="1" applyAlignment="1">
      <alignment horizontal="center" vertical="top" wrapText="1"/>
    </xf>
    <xf numFmtId="0" fontId="30" fillId="2" borderId="5" xfId="0" applyFont="1" applyFill="1" applyBorder="1" applyAlignment="1">
      <alignment horizontal="center" vertical="top" wrapText="1"/>
    </xf>
    <xf numFmtId="0" fontId="23" fillId="0" borderId="13" xfId="0" applyFont="1" applyBorder="1"/>
    <xf numFmtId="165" fontId="21" fillId="0" borderId="0" xfId="1" applyFont="1"/>
    <xf numFmtId="0" fontId="24" fillId="0" borderId="0" xfId="0" applyFont="1"/>
    <xf numFmtId="0" fontId="36" fillId="0" borderId="14" xfId="0" applyFont="1" applyBorder="1" applyAlignment="1">
      <alignment vertical="top" wrapText="1"/>
    </xf>
    <xf numFmtId="0" fontId="35" fillId="0" borderId="4" xfId="0" applyFont="1" applyBorder="1" applyAlignment="1">
      <alignment horizontal="center" vertical="top" wrapText="1"/>
    </xf>
    <xf numFmtId="0" fontId="31" fillId="5" borderId="14" xfId="0" applyFont="1" applyFill="1" applyBorder="1" applyAlignment="1">
      <alignment horizontal="center" vertical="center" wrapText="1"/>
    </xf>
    <xf numFmtId="0" fontId="31" fillId="5" borderId="11" xfId="0" applyFont="1" applyFill="1" applyBorder="1" applyAlignment="1">
      <alignment horizontal="center" vertical="center" wrapText="1"/>
    </xf>
    <xf numFmtId="0" fontId="30" fillId="5" borderId="14" xfId="0" applyFont="1" applyFill="1" applyBorder="1" applyAlignment="1">
      <alignment horizontal="center" vertical="center" wrapText="1"/>
    </xf>
    <xf numFmtId="0" fontId="31" fillId="0" borderId="13" xfId="0" applyFont="1" applyBorder="1" applyAlignment="1">
      <alignment horizontal="center" vertical="center" wrapText="1"/>
    </xf>
    <xf numFmtId="0" fontId="31" fillId="0" borderId="14" xfId="0" applyFont="1" applyBorder="1" applyAlignment="1">
      <alignment horizontal="center" vertical="center" wrapText="1"/>
    </xf>
    <xf numFmtId="0" fontId="30" fillId="0" borderId="4" xfId="0" applyFont="1" applyBorder="1" applyAlignment="1">
      <alignment horizontal="left" vertical="center" wrapText="1"/>
    </xf>
    <xf numFmtId="0" fontId="30" fillId="2" borderId="4" xfId="0" applyFont="1" applyFill="1" applyBorder="1" applyAlignment="1">
      <alignment horizontal="center" vertical="center" wrapText="1"/>
    </xf>
    <xf numFmtId="166" fontId="30" fillId="0" borderId="14" xfId="0" applyNumberFormat="1" applyFont="1" applyBorder="1" applyAlignment="1">
      <alignment vertical="center" wrapText="1"/>
    </xf>
    <xf numFmtId="0" fontId="30" fillId="0" borderId="13" xfId="0" applyFont="1" applyBorder="1" applyAlignment="1">
      <alignment horizontal="center" vertical="center" wrapText="1"/>
    </xf>
    <xf numFmtId="0" fontId="30" fillId="0" borderId="14" xfId="0" applyFont="1" applyBorder="1" applyAlignment="1">
      <alignment horizontal="center" vertical="center" wrapText="1"/>
    </xf>
    <xf numFmtId="0" fontId="31" fillId="5" borderId="13" xfId="0" applyFont="1" applyFill="1" applyBorder="1" applyAlignment="1">
      <alignment horizontal="center" vertical="top" wrapText="1"/>
    </xf>
    <xf numFmtId="0" fontId="31" fillId="5" borderId="14" xfId="0" applyFont="1" applyFill="1" applyBorder="1" applyAlignment="1">
      <alignment horizontal="center" vertical="top" wrapText="1"/>
    </xf>
    <xf numFmtId="0" fontId="31" fillId="5" borderId="11" xfId="0" applyFont="1" applyFill="1" applyBorder="1" applyAlignment="1">
      <alignment horizontal="center" vertical="top" wrapText="1"/>
    </xf>
    <xf numFmtId="0" fontId="31" fillId="6" borderId="12" xfId="0" applyFont="1" applyFill="1" applyBorder="1" applyAlignment="1">
      <alignment vertical="top" wrapText="1"/>
    </xf>
    <xf numFmtId="0" fontId="31" fillId="6" borderId="11" xfId="0" applyFont="1" applyFill="1" applyBorder="1" applyAlignment="1">
      <alignment vertical="top" wrapText="1"/>
    </xf>
    <xf numFmtId="0" fontId="30" fillId="0" borderId="13" xfId="0" applyFont="1" applyBorder="1" applyAlignment="1">
      <alignment horizontal="center" vertical="top" wrapText="1"/>
    </xf>
    <xf numFmtId="0" fontId="30" fillId="0" borderId="9" xfId="0" applyFont="1" applyBorder="1" applyAlignment="1">
      <alignment horizontal="center" vertical="top" wrapText="1"/>
    </xf>
    <xf numFmtId="0" fontId="30" fillId="5" borderId="13" xfId="0" applyFont="1" applyFill="1" applyBorder="1" applyAlignment="1">
      <alignment vertical="top" wrapText="1"/>
    </xf>
    <xf numFmtId="0" fontId="31" fillId="5" borderId="7" xfId="0" applyFont="1" applyFill="1" applyBorder="1" applyAlignment="1">
      <alignment horizontal="center" vertical="top" wrapText="1"/>
    </xf>
    <xf numFmtId="0" fontId="31" fillId="5" borderId="15" xfId="0" applyFont="1" applyFill="1" applyBorder="1" applyAlignment="1">
      <alignment horizontal="center" vertical="top" wrapText="1"/>
    </xf>
    <xf numFmtId="0" fontId="30" fillId="0" borderId="9" xfId="0" applyFont="1" applyBorder="1" applyAlignment="1">
      <alignment horizontal="center" vertical="center" wrapText="1"/>
    </xf>
    <xf numFmtId="0" fontId="35" fillId="0" borderId="13" xfId="0" applyFont="1" applyBorder="1" applyAlignment="1">
      <alignment horizontal="center" vertical="top" wrapText="1"/>
    </xf>
    <xf numFmtId="0" fontId="35" fillId="0" borderId="14" xfId="0" applyFont="1" applyBorder="1" applyAlignment="1">
      <alignment horizontal="center" vertical="top" wrapText="1"/>
    </xf>
    <xf numFmtId="0" fontId="30" fillId="5" borderId="14" xfId="0" applyFont="1" applyFill="1" applyBorder="1" applyAlignment="1">
      <alignment vertical="center" wrapText="1"/>
    </xf>
    <xf numFmtId="0" fontId="30" fillId="0" borderId="13" xfId="0" applyFont="1" applyBorder="1" applyAlignment="1">
      <alignment vertical="center" wrapText="1"/>
    </xf>
    <xf numFmtId="0" fontId="31" fillId="5" borderId="13" xfId="0" applyFont="1" applyFill="1" applyBorder="1" applyAlignment="1">
      <alignment horizontal="center" wrapText="1"/>
    </xf>
    <xf numFmtId="0" fontId="31" fillId="5" borderId="14" xfId="0" applyFont="1" applyFill="1" applyBorder="1" applyAlignment="1">
      <alignment horizontal="center" wrapText="1"/>
    </xf>
    <xf numFmtId="166" fontId="30" fillId="0" borderId="13" xfId="0" applyNumberFormat="1" applyFont="1" applyBorder="1" applyAlignment="1">
      <alignment wrapText="1"/>
    </xf>
    <xf numFmtId="0" fontId="31" fillId="5" borderId="11" xfId="0" applyFont="1" applyFill="1" applyBorder="1" applyAlignment="1">
      <alignment horizontal="center" wrapText="1"/>
    </xf>
    <xf numFmtId="0" fontId="30" fillId="0" borderId="14" xfId="0" applyFont="1" applyBorder="1" applyAlignment="1">
      <alignment wrapText="1"/>
    </xf>
    <xf numFmtId="166" fontId="30" fillId="2" borderId="13" xfId="0" applyNumberFormat="1" applyFont="1" applyFill="1" applyBorder="1" applyAlignment="1">
      <alignment vertical="center" wrapText="1"/>
    </xf>
    <xf numFmtId="0" fontId="30" fillId="0" borderId="14" xfId="0" applyFont="1" applyBorder="1" applyAlignment="1">
      <alignment vertical="top" wrapText="1"/>
    </xf>
    <xf numFmtId="0" fontId="31" fillId="6" borderId="13" xfId="0" applyFont="1" applyFill="1" applyBorder="1" applyAlignment="1">
      <alignment horizontal="center" vertical="center" wrapText="1"/>
    </xf>
    <xf numFmtId="0" fontId="30" fillId="8" borderId="14" xfId="0" applyFont="1" applyFill="1" applyBorder="1" applyAlignment="1">
      <alignment vertical="center" wrapText="1"/>
    </xf>
    <xf numFmtId="0" fontId="30" fillId="8" borderId="13" xfId="0" applyFont="1" applyFill="1" applyBorder="1" applyAlignment="1">
      <alignment horizontal="center" vertical="center" wrapText="1"/>
    </xf>
    <xf numFmtId="0" fontId="30" fillId="8" borderId="14" xfId="0" applyFont="1" applyFill="1" applyBorder="1" applyAlignment="1">
      <alignment horizontal="center" vertical="center" wrapText="1"/>
    </xf>
    <xf numFmtId="0" fontId="30" fillId="0" borderId="8" xfId="0" applyFont="1" applyBorder="1" applyAlignment="1">
      <alignment horizontal="center" vertical="center" wrapText="1"/>
    </xf>
    <xf numFmtId="0" fontId="30" fillId="5" borderId="14" xfId="0" applyFont="1" applyFill="1" applyBorder="1" applyAlignment="1">
      <alignment horizontal="center" vertical="top" wrapText="1"/>
    </xf>
    <xf numFmtId="0" fontId="30" fillId="5" borderId="14" xfId="0" applyFont="1" applyFill="1" applyBorder="1" applyAlignment="1">
      <alignment vertical="top" wrapText="1"/>
    </xf>
    <xf numFmtId="0" fontId="28" fillId="5" borderId="13" xfId="0" applyFont="1" applyFill="1" applyBorder="1" applyAlignment="1">
      <alignment horizontal="center" vertical="top" wrapText="1"/>
    </xf>
    <xf numFmtId="0" fontId="30" fillId="0" borderId="13" xfId="0" applyFont="1" applyBorder="1" applyAlignment="1">
      <alignment horizontal="center" wrapText="1"/>
    </xf>
    <xf numFmtId="0" fontId="30" fillId="0" borderId="14" xfId="0" applyFont="1" applyBorder="1" applyAlignment="1">
      <alignment horizontal="center" wrapText="1"/>
    </xf>
    <xf numFmtId="0" fontId="30" fillId="0" borderId="10" xfId="0" applyFont="1" applyBorder="1" applyAlignment="1">
      <alignment vertical="top" wrapText="1"/>
    </xf>
    <xf numFmtId="0" fontId="37" fillId="0" borderId="13" xfId="0" applyFont="1" applyBorder="1" applyAlignment="1">
      <alignment horizontal="center" vertical="top" wrapText="1"/>
    </xf>
    <xf numFmtId="0" fontId="30" fillId="5" borderId="13" xfId="0" applyFont="1" applyFill="1" applyBorder="1" applyAlignment="1">
      <alignment vertical="center" wrapText="1"/>
    </xf>
    <xf numFmtId="0" fontId="0" fillId="0" borderId="2" xfId="0" applyBorder="1"/>
    <xf numFmtId="0" fontId="37" fillId="0" borderId="4" xfId="0" applyFont="1" applyBorder="1" applyAlignment="1">
      <alignment horizontal="center" vertical="center" wrapText="1"/>
    </xf>
    <xf numFmtId="0" fontId="37" fillId="0" borderId="13" xfId="0" applyFont="1" applyBorder="1" applyAlignment="1">
      <alignment vertical="center" wrapText="1"/>
    </xf>
    <xf numFmtId="0" fontId="37" fillId="0" borderId="4" xfId="0" applyFont="1" applyBorder="1" applyAlignment="1">
      <alignment vertical="center" wrapText="1"/>
    </xf>
    <xf numFmtId="0" fontId="37" fillId="0" borderId="9" xfId="0" applyFont="1" applyBorder="1" applyAlignment="1">
      <alignment horizontal="center" vertical="top" wrapText="1"/>
    </xf>
    <xf numFmtId="0" fontId="37" fillId="0" borderId="4" xfId="0" applyFont="1" applyBorder="1" applyAlignment="1">
      <alignment horizontal="center" vertical="top" wrapText="1"/>
    </xf>
    <xf numFmtId="0" fontId="37" fillId="0" borderId="14" xfId="0" applyFont="1" applyBorder="1" applyAlignment="1">
      <alignment vertical="top" wrapText="1"/>
    </xf>
    <xf numFmtId="0" fontId="37" fillId="0" borderId="4" xfId="0" applyFont="1" applyBorder="1" applyAlignment="1">
      <alignment vertical="top" wrapText="1"/>
    </xf>
    <xf numFmtId="0" fontId="2" fillId="0" borderId="4" xfId="0" applyFont="1" applyBorder="1" applyAlignment="1">
      <alignment vertical="center" wrapText="1"/>
    </xf>
    <xf numFmtId="0" fontId="37" fillId="0" borderId="13" xfId="0" applyFont="1" applyBorder="1" applyAlignment="1">
      <alignment vertical="top" wrapText="1"/>
    </xf>
    <xf numFmtId="166" fontId="30" fillId="0" borderId="13" xfId="0" applyNumberFormat="1" applyFont="1" applyBorder="1" applyAlignment="1">
      <alignment horizontal="right" wrapText="1"/>
    </xf>
    <xf numFmtId="166" fontId="30" fillId="0" borderId="14" xfId="0" applyNumberFormat="1" applyFont="1" applyBorder="1" applyAlignment="1">
      <alignment horizontal="right" vertical="center" wrapText="1"/>
    </xf>
    <xf numFmtId="166" fontId="23" fillId="0" borderId="16" xfId="0" applyNumberFormat="1" applyFont="1" applyBorder="1"/>
    <xf numFmtId="0" fontId="23" fillId="0" borderId="4" xfId="0" applyFont="1" applyBorder="1"/>
    <xf numFmtId="166" fontId="0" fillId="0" borderId="4" xfId="0" applyNumberFormat="1" applyBorder="1"/>
    <xf numFmtId="168" fontId="0" fillId="0" borderId="0" xfId="0" applyNumberFormat="1"/>
    <xf numFmtId="166" fontId="31" fillId="3" borderId="11" xfId="0" applyNumberFormat="1" applyFont="1" applyFill="1" applyBorder="1" applyAlignment="1">
      <alignment vertical="top" wrapText="1"/>
    </xf>
    <xf numFmtId="0" fontId="37" fillId="0" borderId="14" xfId="0" applyFont="1" applyBorder="1" applyAlignment="1">
      <alignment horizontal="center" vertical="top" wrapText="1"/>
    </xf>
    <xf numFmtId="166" fontId="31" fillId="7" borderId="11" xfId="0" applyNumberFormat="1" applyFont="1" applyFill="1" applyBorder="1" applyAlignment="1">
      <alignment vertical="center" wrapText="1"/>
    </xf>
    <xf numFmtId="0" fontId="0" fillId="0" borderId="0" xfId="0" applyAlignment="1">
      <alignment vertical="center"/>
    </xf>
    <xf numFmtId="0" fontId="31" fillId="0" borderId="4" xfId="0" applyFont="1" applyBorder="1" applyAlignment="1">
      <alignment horizontal="center" vertical="top" wrapText="1"/>
    </xf>
    <xf numFmtId="0" fontId="28" fillId="5" borderId="7" xfId="0" applyFont="1" applyFill="1" applyBorder="1" applyAlignment="1">
      <alignment horizontal="center" vertical="top" wrapText="1"/>
    </xf>
    <xf numFmtId="0" fontId="28" fillId="5" borderId="11" xfId="0" applyFont="1" applyFill="1" applyBorder="1" applyAlignment="1">
      <alignment horizontal="center" vertical="center" wrapText="1"/>
    </xf>
    <xf numFmtId="0" fontId="28" fillId="5" borderId="14" xfId="0" applyFont="1" applyFill="1" applyBorder="1" applyAlignment="1">
      <alignment horizontal="center" vertical="center" wrapText="1"/>
    </xf>
    <xf numFmtId="0" fontId="28" fillId="5" borderId="14" xfId="0" applyFont="1" applyFill="1" applyBorder="1" applyAlignment="1">
      <alignment vertical="center" wrapText="1"/>
    </xf>
    <xf numFmtId="0" fontId="4" fillId="5" borderId="14" xfId="0" applyFont="1" applyFill="1" applyBorder="1" applyAlignment="1">
      <alignment horizontal="center" vertical="top" wrapText="1"/>
    </xf>
    <xf numFmtId="0" fontId="4" fillId="5" borderId="7"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8" xfId="0" applyFont="1" applyFill="1" applyBorder="1" applyAlignment="1">
      <alignment vertical="top" wrapText="1"/>
    </xf>
    <xf numFmtId="0" fontId="4" fillId="5" borderId="4" xfId="0" applyFont="1" applyFill="1" applyBorder="1" applyAlignment="1">
      <alignment horizontal="center" vertical="top" wrapText="1"/>
    </xf>
    <xf numFmtId="0" fontId="31" fillId="5" borderId="4" xfId="0" applyFont="1" applyFill="1" applyBorder="1" applyAlignment="1">
      <alignment horizontal="center" wrapText="1"/>
    </xf>
    <xf numFmtId="0" fontId="7" fillId="0" borderId="16" xfId="11" applyFont="1" applyBorder="1" applyAlignment="1">
      <alignment horizontal="left"/>
    </xf>
    <xf numFmtId="0" fontId="8" fillId="0" borderId="0" xfId="12"/>
    <xf numFmtId="0" fontId="7" fillId="0" borderId="3" xfId="11" applyFont="1" applyBorder="1" applyAlignment="1">
      <alignment horizontal="left"/>
    </xf>
    <xf numFmtId="0" fontId="8" fillId="0" borderId="15" xfId="11" applyFont="1" applyBorder="1" applyAlignment="1">
      <alignment wrapText="1"/>
    </xf>
    <xf numFmtId="0" fontId="8" fillId="0" borderId="5" xfId="11" applyFont="1" applyBorder="1" applyAlignment="1">
      <alignment wrapText="1"/>
    </xf>
    <xf numFmtId="0" fontId="8" fillId="0" borderId="1" xfId="11" applyFont="1" applyBorder="1" applyAlignment="1">
      <alignment wrapText="1"/>
    </xf>
    <xf numFmtId="4" fontId="9" fillId="0" borderId="4" xfId="12" applyNumberFormat="1" applyFont="1" applyBorder="1" applyAlignment="1" applyProtection="1">
      <alignment horizontal="center" vertical="center" wrapText="1"/>
      <protection locked="0"/>
    </xf>
    <xf numFmtId="0" fontId="10" fillId="0" borderId="2" xfId="12" applyFont="1" applyBorder="1" applyAlignment="1" applyProtection="1">
      <alignment horizontal="center" vertical="center"/>
      <protection locked="0"/>
    </xf>
    <xf numFmtId="0" fontId="10" fillId="0" borderId="13" xfId="12" applyFont="1" applyBorder="1" applyAlignment="1" applyProtection="1">
      <alignment horizontal="center" vertical="center"/>
      <protection locked="0"/>
    </xf>
    <xf numFmtId="166" fontId="10" fillId="0" borderId="3" xfId="12" applyNumberFormat="1" applyFont="1" applyBorder="1" applyAlignment="1" applyProtection="1">
      <alignment horizontal="center" vertical="center"/>
      <protection locked="0"/>
    </xf>
    <xf numFmtId="0" fontId="10" fillId="0" borderId="9" xfId="12" applyFont="1" applyBorder="1" applyAlignment="1" applyProtection="1">
      <alignment horizontal="left" vertical="center"/>
      <protection locked="0"/>
    </xf>
    <xf numFmtId="166" fontId="10" fillId="0" borderId="3" xfId="12" applyNumberFormat="1" applyFont="1" applyBorder="1" applyAlignment="1" applyProtection="1">
      <alignment vertical="center"/>
      <protection locked="0"/>
    </xf>
    <xf numFmtId="165" fontId="7" fillId="0" borderId="0" xfId="2" applyFont="1"/>
    <xf numFmtId="0" fontId="10" fillId="0" borderId="9" xfId="12" applyFont="1" applyBorder="1" applyAlignment="1" applyProtection="1">
      <alignment horizontal="center" vertical="center"/>
      <protection locked="0"/>
    </xf>
    <xf numFmtId="0" fontId="10" fillId="0" borderId="9" xfId="12" applyFont="1" applyBorder="1" applyAlignment="1" applyProtection="1">
      <alignment vertical="center" wrapText="1"/>
      <protection locked="0"/>
    </xf>
    <xf numFmtId="166" fontId="38" fillId="0" borderId="3" xfId="12" applyNumberFormat="1" applyFont="1" applyBorder="1" applyAlignment="1" applyProtection="1">
      <alignment vertical="center"/>
      <protection locked="0"/>
    </xf>
    <xf numFmtId="166" fontId="10" fillId="0" borderId="3" xfId="12" applyNumberFormat="1" applyFont="1" applyBorder="1" applyAlignment="1">
      <alignment vertical="center"/>
    </xf>
    <xf numFmtId="0" fontId="11" fillId="0" borderId="9" xfId="12" applyFont="1" applyBorder="1" applyAlignment="1">
      <alignment horizontal="left" wrapText="1"/>
    </xf>
    <xf numFmtId="166" fontId="10" fillId="0" borderId="9" xfId="12" applyNumberFormat="1" applyFont="1" applyBorder="1"/>
    <xf numFmtId="166" fontId="10" fillId="0" borderId="3" xfId="12" applyNumberFormat="1" applyFont="1" applyBorder="1"/>
    <xf numFmtId="0" fontId="10" fillId="0" borderId="9" xfId="12" applyFont="1" applyBorder="1" applyAlignment="1" applyProtection="1">
      <alignment wrapText="1"/>
      <protection locked="0"/>
    </xf>
    <xf numFmtId="166" fontId="10" fillId="0" borderId="3" xfId="12" applyNumberFormat="1" applyFont="1" applyBorder="1" applyProtection="1">
      <protection locked="0"/>
    </xf>
    <xf numFmtId="0" fontId="10" fillId="0" borderId="12" xfId="12" applyFont="1" applyBorder="1" applyProtection="1">
      <protection locked="0"/>
    </xf>
    <xf numFmtId="0" fontId="9" fillId="0" borderId="4" xfId="12" applyFont="1" applyBorder="1" applyAlignment="1" applyProtection="1">
      <alignment wrapText="1"/>
      <protection locked="0"/>
    </xf>
    <xf numFmtId="166" fontId="9" fillId="0" borderId="4" xfId="12" applyNumberFormat="1" applyFont="1" applyBorder="1" applyProtection="1">
      <protection locked="0"/>
    </xf>
    <xf numFmtId="0" fontId="7" fillId="0" borderId="0" xfId="12" applyFont="1" applyAlignment="1">
      <alignment wrapText="1"/>
    </xf>
    <xf numFmtId="0" fontId="7" fillId="0" borderId="0" xfId="12" applyFont="1" applyAlignment="1">
      <alignment horizontal="center" wrapText="1"/>
    </xf>
    <xf numFmtId="0" fontId="8" fillId="0" borderId="0" xfId="12" applyAlignment="1">
      <alignment wrapText="1"/>
    </xf>
    <xf numFmtId="0" fontId="8" fillId="0" borderId="3" xfId="12" applyBorder="1"/>
    <xf numFmtId="0" fontId="11" fillId="4" borderId="26" xfId="10" applyNumberFormat="1" applyFont="1" applyFill="1" applyBorder="1"/>
    <xf numFmtId="0" fontId="11" fillId="4" borderId="27" xfId="10" applyNumberFormat="1" applyFont="1" applyFill="1" applyBorder="1"/>
    <xf numFmtId="49" fontId="13" fillId="4" borderId="27" xfId="10" applyNumberFormat="1" applyFont="1" applyFill="1" applyBorder="1"/>
    <xf numFmtId="169" fontId="13" fillId="4" borderId="27" xfId="10" applyNumberFormat="1" applyFont="1" applyFill="1" applyBorder="1" applyAlignment="1">
      <alignment horizontal="left"/>
    </xf>
    <xf numFmtId="0" fontId="11" fillId="4" borderId="28" xfId="10" applyNumberFormat="1" applyFont="1" applyFill="1" applyBorder="1" applyAlignment="1">
      <alignment horizontal="left"/>
    </xf>
    <xf numFmtId="0" fontId="11" fillId="4" borderId="0" xfId="10" applyNumberFormat="1" applyFont="1" applyFill="1" applyBorder="1" applyAlignment="1">
      <alignment horizontal="left"/>
    </xf>
    <xf numFmtId="0" fontId="12" fillId="0" borderId="0" xfId="10" applyNumberFormat="1" applyBorder="1"/>
    <xf numFmtId="0" fontId="12" fillId="0" borderId="0" xfId="10" applyNumberFormat="1"/>
    <xf numFmtId="0" fontId="12" fillId="4" borderId="29" xfId="10" applyNumberFormat="1" applyFill="1" applyBorder="1"/>
    <xf numFmtId="0" fontId="12" fillId="4" borderId="0" xfId="10" applyFill="1" applyBorder="1"/>
    <xf numFmtId="49" fontId="13" fillId="4" borderId="0" xfId="10" applyNumberFormat="1" applyFont="1" applyFill="1" applyBorder="1"/>
    <xf numFmtId="49" fontId="13" fillId="4" borderId="0" xfId="10" applyNumberFormat="1" applyFont="1" applyFill="1" applyBorder="1" applyAlignment="1">
      <alignment horizontal="left"/>
    </xf>
    <xf numFmtId="0" fontId="11" fillId="4" borderId="30" xfId="10" applyNumberFormat="1" applyFont="1" applyFill="1" applyBorder="1" applyAlignment="1">
      <alignment horizontal="left"/>
    </xf>
    <xf numFmtId="169" fontId="13" fillId="4" borderId="0" xfId="10" applyNumberFormat="1" applyFont="1" applyFill="1" applyBorder="1" applyAlignment="1">
      <alignment horizontal="left"/>
    </xf>
    <xf numFmtId="49" fontId="13" fillId="4" borderId="0" xfId="10" applyNumberFormat="1" applyFont="1" applyFill="1" applyBorder="1" applyAlignment="1">
      <alignment vertical="top"/>
    </xf>
    <xf numFmtId="3" fontId="13" fillId="4" borderId="0" xfId="10" applyNumberFormat="1" applyFont="1" applyFill="1" applyBorder="1" applyAlignment="1">
      <alignment horizontal="left" wrapText="1"/>
    </xf>
    <xf numFmtId="0" fontId="12" fillId="4" borderId="31" xfId="10" applyNumberFormat="1" applyFill="1" applyBorder="1"/>
    <xf numFmtId="0" fontId="13" fillId="4" borderId="32" xfId="10" applyNumberFormat="1" applyFont="1" applyFill="1" applyBorder="1"/>
    <xf numFmtId="0" fontId="12" fillId="4" borderId="32" xfId="10" applyFill="1" applyBorder="1"/>
    <xf numFmtId="169" fontId="13" fillId="4" borderId="32" xfId="10" applyNumberFormat="1" applyFont="1" applyFill="1" applyBorder="1" applyAlignment="1">
      <alignment horizontal="left"/>
    </xf>
    <xf numFmtId="0" fontId="11" fillId="4" borderId="33" xfId="10" applyNumberFormat="1" applyFont="1" applyFill="1" applyBorder="1" applyAlignment="1">
      <alignment horizontal="left"/>
    </xf>
    <xf numFmtId="0" fontId="11" fillId="4" borderId="26" xfId="10" applyNumberFormat="1" applyFont="1" applyFill="1" applyBorder="1" applyProtection="1">
      <protection locked="0"/>
    </xf>
    <xf numFmtId="49" fontId="14" fillId="4" borderId="27" xfId="10" applyNumberFormat="1" applyFont="1" applyFill="1" applyBorder="1" applyProtection="1">
      <protection locked="0"/>
    </xf>
    <xf numFmtId="0" fontId="11" fillId="4" borderId="27" xfId="10" applyNumberFormat="1" applyFont="1" applyFill="1" applyBorder="1" applyProtection="1">
      <protection locked="0"/>
    </xf>
    <xf numFmtId="0" fontId="11" fillId="4" borderId="34" xfId="10" applyNumberFormat="1" applyFont="1" applyFill="1" applyBorder="1" applyProtection="1">
      <protection locked="0"/>
    </xf>
    <xf numFmtId="0" fontId="11" fillId="4" borderId="35" xfId="10" applyNumberFormat="1" applyFont="1" applyFill="1" applyBorder="1" applyProtection="1">
      <protection locked="0"/>
    </xf>
    <xf numFmtId="0" fontId="11" fillId="4" borderId="0" xfId="10" applyNumberFormat="1" applyFont="1" applyFill="1" applyBorder="1" applyProtection="1">
      <protection locked="0"/>
    </xf>
    <xf numFmtId="49" fontId="11" fillId="4" borderId="29" xfId="10" applyNumberFormat="1" applyFont="1" applyFill="1" applyBorder="1" applyAlignment="1" applyProtection="1">
      <alignment horizontal="center"/>
      <protection locked="0"/>
    </xf>
    <xf numFmtId="49" fontId="11" fillId="4" borderId="0" xfId="10" applyNumberFormat="1" applyFont="1" applyFill="1" applyBorder="1" applyProtection="1">
      <protection locked="0"/>
    </xf>
    <xf numFmtId="4" fontId="39" fillId="4" borderId="36" xfId="10" applyNumberFormat="1" applyFont="1" applyFill="1" applyBorder="1" applyProtection="1">
      <protection locked="0"/>
    </xf>
    <xf numFmtId="4" fontId="39" fillId="4" borderId="0" xfId="10" applyNumberFormat="1" applyFont="1" applyFill="1" applyBorder="1" applyProtection="1">
      <protection locked="0"/>
    </xf>
    <xf numFmtId="165" fontId="12" fillId="0" borderId="0" xfId="1" applyFont="1" applyAlignment="1"/>
    <xf numFmtId="0" fontId="11" fillId="4" borderId="29" xfId="10" applyNumberFormat="1" applyFont="1" applyFill="1" applyBorder="1" applyAlignment="1" applyProtection="1">
      <alignment horizontal="center"/>
      <protection locked="0"/>
    </xf>
    <xf numFmtId="49" fontId="14" fillId="4" borderId="0" xfId="10" applyNumberFormat="1" applyFont="1" applyFill="1" applyBorder="1" applyProtection="1">
      <protection locked="0"/>
    </xf>
    <xf numFmtId="0" fontId="13" fillId="4" borderId="0" xfId="10" applyNumberFormat="1" applyFont="1" applyFill="1" applyBorder="1" applyProtection="1">
      <protection locked="0"/>
    </xf>
    <xf numFmtId="0" fontId="13" fillId="4" borderId="37" xfId="10" applyNumberFormat="1" applyFont="1" applyFill="1" applyBorder="1" applyProtection="1">
      <protection locked="0"/>
    </xf>
    <xf numFmtId="49" fontId="11" fillId="4" borderId="36" xfId="10" applyNumberFormat="1" applyFont="1" applyFill="1" applyBorder="1" applyProtection="1"/>
    <xf numFmtId="49" fontId="11" fillId="4" borderId="0" xfId="10" applyNumberFormat="1" applyFont="1" applyFill="1" applyBorder="1" applyProtection="1"/>
    <xf numFmtId="43" fontId="12" fillId="0" borderId="0" xfId="10" applyNumberFormat="1"/>
    <xf numFmtId="49" fontId="39" fillId="4" borderId="37" xfId="10" applyNumberFormat="1" applyFont="1" applyFill="1" applyBorder="1" applyAlignment="1" applyProtection="1">
      <alignment horizontal="center"/>
      <protection locked="0"/>
    </xf>
    <xf numFmtId="4" fontId="11" fillId="4" borderId="36" xfId="10" applyNumberFormat="1" applyFont="1" applyFill="1" applyBorder="1" applyProtection="1"/>
    <xf numFmtId="4" fontId="11" fillId="4" borderId="0" xfId="10" applyNumberFormat="1" applyFont="1" applyFill="1" applyBorder="1" applyProtection="1"/>
    <xf numFmtId="2" fontId="15" fillId="4" borderId="37" xfId="10" applyNumberFormat="1" applyFont="1" applyFill="1" applyBorder="1" applyAlignment="1" applyProtection="1">
      <alignment horizontal="center"/>
    </xf>
    <xf numFmtId="3" fontId="13" fillId="4" borderId="36" xfId="10" applyNumberFormat="1" applyFont="1" applyFill="1" applyBorder="1" applyAlignment="1" applyProtection="1">
      <alignment horizontal="right"/>
    </xf>
    <xf numFmtId="3" fontId="13" fillId="4" borderId="0" xfId="10" applyNumberFormat="1" applyFont="1" applyFill="1" applyBorder="1" applyAlignment="1" applyProtection="1">
      <alignment horizontal="right"/>
    </xf>
    <xf numFmtId="4" fontId="13" fillId="4" borderId="36" xfId="10" applyNumberFormat="1" applyFont="1" applyFill="1" applyBorder="1" applyAlignment="1" applyProtection="1">
      <alignment horizontal="right"/>
    </xf>
    <xf numFmtId="4" fontId="13" fillId="4" borderId="0" xfId="10" applyNumberFormat="1" applyFont="1" applyFill="1" applyBorder="1" applyAlignment="1" applyProtection="1">
      <alignment horizontal="right"/>
    </xf>
    <xf numFmtId="9" fontId="39" fillId="4" borderId="37" xfId="10" applyNumberFormat="1" applyFont="1" applyFill="1" applyBorder="1" applyAlignment="1" applyProtection="1">
      <alignment horizontal="center"/>
      <protection locked="0"/>
    </xf>
    <xf numFmtId="0" fontId="11" fillId="4" borderId="37" xfId="10" applyNumberFormat="1" applyFont="1" applyFill="1" applyBorder="1" applyAlignment="1" applyProtection="1">
      <alignment horizontal="center"/>
      <protection locked="0"/>
    </xf>
    <xf numFmtId="0" fontId="12" fillId="4" borderId="0" xfId="10" applyFill="1" applyBorder="1" applyProtection="1">
      <protection locked="0"/>
    </xf>
    <xf numFmtId="170" fontId="11" fillId="4" borderId="36" xfId="10" applyNumberFormat="1" applyFont="1" applyFill="1" applyBorder="1" applyProtection="1"/>
    <xf numFmtId="170" fontId="11" fillId="4" borderId="0" xfId="10" applyNumberFormat="1" applyFont="1" applyFill="1" applyBorder="1" applyProtection="1"/>
    <xf numFmtId="0" fontId="13" fillId="4" borderId="29" xfId="10" applyNumberFormat="1" applyFont="1" applyFill="1" applyBorder="1" applyAlignment="1" applyProtection="1">
      <alignment horizontal="center"/>
      <protection locked="0"/>
    </xf>
    <xf numFmtId="0" fontId="13" fillId="4" borderId="36" xfId="10" applyNumberFormat="1" applyFont="1" applyFill="1" applyBorder="1" applyProtection="1"/>
    <xf numFmtId="0" fontId="13" fillId="4" borderId="0" xfId="10" applyNumberFormat="1" applyFont="1" applyFill="1" applyBorder="1" applyProtection="1"/>
    <xf numFmtId="0" fontId="11" fillId="4" borderId="38" xfId="10" applyNumberFormat="1" applyFont="1" applyFill="1" applyBorder="1" applyAlignment="1" applyProtection="1">
      <alignment horizontal="center"/>
      <protection locked="0"/>
    </xf>
    <xf numFmtId="171" fontId="11" fillId="4" borderId="39" xfId="10" applyNumberFormat="1" applyFont="1" applyFill="1" applyBorder="1" applyProtection="1">
      <protection locked="0"/>
    </xf>
    <xf numFmtId="0" fontId="13" fillId="4" borderId="39" xfId="10" applyNumberFormat="1" applyFont="1" applyFill="1" applyBorder="1" applyProtection="1">
      <protection locked="0"/>
    </xf>
    <xf numFmtId="0" fontId="13" fillId="4" borderId="40" xfId="10" applyNumberFormat="1" applyFont="1" applyFill="1" applyBorder="1" applyProtection="1">
      <protection locked="0"/>
    </xf>
    <xf numFmtId="172" fontId="11" fillId="4" borderId="41" xfId="10" applyNumberFormat="1" applyFont="1" applyFill="1" applyBorder="1" applyProtection="1"/>
    <xf numFmtId="172" fontId="11" fillId="4" borderId="0" xfId="10" applyNumberFormat="1" applyFont="1" applyFill="1" applyBorder="1" applyProtection="1"/>
    <xf numFmtId="0" fontId="13" fillId="4" borderId="42" xfId="10" applyNumberFormat="1" applyFont="1" applyFill="1" applyBorder="1" applyAlignment="1" applyProtection="1">
      <alignment horizontal="center"/>
      <protection locked="0"/>
    </xf>
    <xf numFmtId="49" fontId="13" fillId="4" borderId="43" xfId="10" applyNumberFormat="1" applyFont="1" applyFill="1" applyBorder="1" applyProtection="1">
      <protection locked="0"/>
    </xf>
    <xf numFmtId="0" fontId="13" fillId="4" borderId="43" xfId="10" applyNumberFormat="1" applyFont="1" applyFill="1" applyBorder="1" applyProtection="1">
      <protection locked="0"/>
    </xf>
    <xf numFmtId="0" fontId="13" fillId="4" borderId="44" xfId="10" applyNumberFormat="1" applyFont="1" applyFill="1" applyBorder="1" applyProtection="1">
      <protection locked="0"/>
    </xf>
    <xf numFmtId="173" fontId="13" fillId="4" borderId="45" xfId="10" applyNumberFormat="1" applyFont="1" applyFill="1" applyBorder="1" applyProtection="1"/>
    <xf numFmtId="174" fontId="13" fillId="4" borderId="0" xfId="10" applyNumberFormat="1" applyFont="1" applyFill="1" applyBorder="1" applyProtection="1"/>
    <xf numFmtId="175" fontId="12" fillId="0" borderId="0" xfId="10" applyNumberFormat="1" applyBorder="1"/>
    <xf numFmtId="0" fontId="11" fillId="4" borderId="31" xfId="10" applyNumberFormat="1" applyFont="1" applyFill="1" applyBorder="1" applyProtection="1">
      <protection locked="0"/>
    </xf>
    <xf numFmtId="0" fontId="11" fillId="4" borderId="32" xfId="10" applyNumberFormat="1" applyFont="1" applyFill="1" applyBorder="1" applyProtection="1">
      <protection locked="0"/>
    </xf>
    <xf numFmtId="0" fontId="12" fillId="4" borderId="32" xfId="10" applyFill="1" applyBorder="1" applyProtection="1">
      <protection locked="0"/>
    </xf>
    <xf numFmtId="0" fontId="12" fillId="4" borderId="46" xfId="10" applyFill="1" applyBorder="1" applyProtection="1">
      <protection locked="0"/>
    </xf>
    <xf numFmtId="172" fontId="11" fillId="4" borderId="47" xfId="10" applyNumberFormat="1" applyFont="1" applyFill="1" applyBorder="1" applyProtection="1">
      <protection locked="0"/>
    </xf>
    <xf numFmtId="172" fontId="11" fillId="4" borderId="0" xfId="10" applyNumberFormat="1" applyFont="1" applyFill="1" applyBorder="1" applyProtection="1">
      <protection locked="0"/>
    </xf>
    <xf numFmtId="0" fontId="0" fillId="0" borderId="48" xfId="0" applyBorder="1"/>
    <xf numFmtId="0" fontId="7" fillId="0" borderId="49" xfId="0" applyFont="1" applyBorder="1"/>
    <xf numFmtId="0" fontId="7" fillId="0" borderId="49" xfId="0" applyFont="1" applyBorder="1" applyAlignment="1">
      <alignment horizontal="right"/>
    </xf>
    <xf numFmtId="0" fontId="7" fillId="0" borderId="49" xfId="0" applyFont="1" applyBorder="1" applyAlignment="1">
      <alignment horizontal="right" wrapText="1"/>
    </xf>
    <xf numFmtId="0" fontId="7" fillId="0" borderId="50" xfId="0" applyFont="1" applyBorder="1" applyAlignment="1">
      <alignment horizontal="right" wrapText="1"/>
    </xf>
    <xf numFmtId="0" fontId="7" fillId="0" borderId="0" xfId="0" applyFont="1" applyAlignment="1">
      <alignment horizontal="right" wrapText="1"/>
    </xf>
    <xf numFmtId="0" fontId="0" fillId="0" borderId="29" xfId="0" applyBorder="1"/>
    <xf numFmtId="0" fontId="8" fillId="0" borderId="0" xfId="0" applyFont="1"/>
    <xf numFmtId="43" fontId="8" fillId="0" borderId="0" xfId="0" applyNumberFormat="1" applyFont="1"/>
    <xf numFmtId="167" fontId="8" fillId="0" borderId="30" xfId="0" applyNumberFormat="1" applyFont="1" applyBorder="1"/>
    <xf numFmtId="167" fontId="8" fillId="0" borderId="0" xfId="0" applyNumberFormat="1" applyFont="1"/>
    <xf numFmtId="0" fontId="0" fillId="0" borderId="29" xfId="0" applyBorder="1" applyAlignment="1">
      <alignment horizontal="center"/>
    </xf>
    <xf numFmtId="0" fontId="8" fillId="0" borderId="0" xfId="0" applyFont="1" applyAlignment="1" applyProtection="1">
      <alignment vertical="center"/>
      <protection locked="0"/>
    </xf>
    <xf numFmtId="9" fontId="8" fillId="0" borderId="0" xfId="0" applyNumberFormat="1" applyFont="1"/>
    <xf numFmtId="165" fontId="8" fillId="0" borderId="0" xfId="1" applyFont="1" applyBorder="1"/>
    <xf numFmtId="0" fontId="0" fillId="0" borderId="0" xfId="0" applyAlignment="1" applyProtection="1">
      <alignment vertical="center"/>
      <protection locked="0"/>
    </xf>
    <xf numFmtId="0" fontId="0" fillId="0" borderId="0" xfId="0" applyAlignment="1" applyProtection="1">
      <alignment horizontal="left" vertical="center"/>
      <protection locked="0"/>
    </xf>
    <xf numFmtId="0" fontId="0" fillId="0" borderId="29" xfId="0" applyBorder="1" applyAlignment="1">
      <alignment horizontal="center" vertical="center"/>
    </xf>
    <xf numFmtId="0" fontId="8" fillId="0" borderId="0" xfId="0" applyFont="1" applyAlignment="1" applyProtection="1">
      <alignment vertical="center" wrapText="1"/>
      <protection locked="0"/>
    </xf>
    <xf numFmtId="9" fontId="8" fillId="0" borderId="0" xfId="0" applyNumberFormat="1" applyFont="1" applyAlignment="1">
      <alignment vertical="center"/>
    </xf>
    <xf numFmtId="0" fontId="8" fillId="0" borderId="0" xfId="0" applyFont="1" applyAlignment="1">
      <alignment vertical="center"/>
    </xf>
    <xf numFmtId="43" fontId="8" fillId="0" borderId="0" xfId="0" applyNumberFormat="1" applyFont="1" applyAlignment="1">
      <alignment vertical="center"/>
    </xf>
    <xf numFmtId="167" fontId="8" fillId="0" borderId="30" xfId="0" applyNumberFormat="1" applyFont="1" applyBorder="1" applyAlignment="1">
      <alignment vertical="center"/>
    </xf>
    <xf numFmtId="167" fontId="8" fillId="0" borderId="0" xfId="0" applyNumberFormat="1" applyFont="1" applyAlignment="1">
      <alignment vertical="center"/>
    </xf>
    <xf numFmtId="0" fontId="8" fillId="0" borderId="0" xfId="0" applyFont="1" applyProtection="1">
      <protection locked="0"/>
    </xf>
    <xf numFmtId="0" fontId="7" fillId="0" borderId="48" xfId="0" applyFont="1" applyBorder="1" applyAlignment="1">
      <alignment horizontal="left" indent="1"/>
    </xf>
    <xf numFmtId="0" fontId="8" fillId="0" borderId="49" xfId="0" applyFont="1" applyBorder="1"/>
    <xf numFmtId="43" fontId="8" fillId="0" borderId="49" xfId="0" applyNumberFormat="1" applyFont="1" applyBorder="1"/>
    <xf numFmtId="44" fontId="40" fillId="0" borderId="51" xfId="0" applyNumberFormat="1" applyFont="1" applyBorder="1"/>
    <xf numFmtId="44" fontId="40" fillId="0" borderId="0" xfId="0" applyNumberFormat="1" applyFont="1"/>
    <xf numFmtId="167" fontId="8" fillId="0" borderId="52" xfId="0" applyNumberFormat="1" applyFont="1" applyBorder="1"/>
    <xf numFmtId="0" fontId="7" fillId="0" borderId="29" xfId="0" applyFont="1" applyBorder="1" applyAlignment="1">
      <alignment horizontal="center"/>
    </xf>
    <xf numFmtId="0" fontId="7" fillId="0" borderId="0" xfId="0" applyFont="1"/>
    <xf numFmtId="43" fontId="41" fillId="0" borderId="0" xfId="1" applyNumberFormat="1" applyFont="1" applyBorder="1" applyProtection="1">
      <protection locked="0"/>
    </xf>
    <xf numFmtId="167" fontId="0" fillId="0" borderId="0" xfId="0" applyNumberFormat="1" applyAlignment="1">
      <alignment horizontal="left" indent="1"/>
    </xf>
    <xf numFmtId="167" fontId="0" fillId="0" borderId="30" xfId="0" applyNumberFormat="1" applyBorder="1" applyAlignment="1">
      <alignment horizontal="left" indent="1"/>
    </xf>
    <xf numFmtId="43" fontId="0" fillId="0" borderId="0" xfId="0" applyNumberFormat="1"/>
    <xf numFmtId="43" fontId="8" fillId="0" borderId="0" xfId="0" applyNumberFormat="1" applyFont="1" applyProtection="1">
      <protection locked="0"/>
    </xf>
    <xf numFmtId="43" fontId="21" fillId="0" borderId="0" xfId="1" applyNumberFormat="1" applyFont="1" applyBorder="1" applyProtection="1">
      <protection locked="0"/>
    </xf>
    <xf numFmtId="43" fontId="0" fillId="0" borderId="0" xfId="0" applyNumberFormat="1" applyProtection="1">
      <protection locked="0"/>
    </xf>
    <xf numFmtId="43" fontId="7" fillId="0" borderId="0" xfId="0" applyNumberFormat="1" applyFont="1"/>
    <xf numFmtId="0" fontId="8" fillId="0" borderId="29" xfId="0" applyFont="1" applyBorder="1" applyAlignment="1">
      <alignment horizontal="center"/>
    </xf>
    <xf numFmtId="0" fontId="7" fillId="0" borderId="53" xfId="0" applyFont="1" applyBorder="1" applyAlignment="1">
      <alignment horizontal="left" indent="1"/>
    </xf>
    <xf numFmtId="44" fontId="40" fillId="0" borderId="54" xfId="0" applyNumberFormat="1" applyFont="1" applyBorder="1"/>
    <xf numFmtId="167" fontId="8" fillId="0" borderId="3" xfId="0" applyNumberFormat="1" applyFont="1" applyBorder="1"/>
    <xf numFmtId="0" fontId="12" fillId="0" borderId="2" xfId="10" applyNumberFormat="1" applyBorder="1"/>
    <xf numFmtId="0" fontId="12" fillId="0" borderId="3" xfId="10" applyNumberFormat="1" applyBorder="1"/>
    <xf numFmtId="44" fontId="17" fillId="0" borderId="3" xfId="10" applyNumberFormat="1" applyFont="1" applyBorder="1"/>
    <xf numFmtId="44" fontId="17" fillId="0" borderId="0" xfId="10" applyNumberFormat="1" applyFont="1" applyBorder="1"/>
    <xf numFmtId="0" fontId="17" fillId="0" borderId="3" xfId="10" applyNumberFormat="1" applyFont="1" applyBorder="1"/>
    <xf numFmtId="0" fontId="17" fillId="0" borderId="0" xfId="10" applyNumberFormat="1" applyFont="1" applyBorder="1"/>
    <xf numFmtId="0" fontId="12" fillId="0" borderId="55" xfId="10" applyNumberFormat="1" applyBorder="1"/>
    <xf numFmtId="44" fontId="17" fillId="0" borderId="56" xfId="10" applyNumberFormat="1" applyFont="1" applyBorder="1"/>
    <xf numFmtId="44" fontId="12" fillId="0" borderId="0" xfId="10" applyNumberFormat="1"/>
    <xf numFmtId="0" fontId="13" fillId="0" borderId="9" xfId="12" applyFont="1" applyBorder="1" applyAlignment="1">
      <alignment horizontal="left" wrapText="1"/>
    </xf>
    <xf numFmtId="166" fontId="9" fillId="0" borderId="9" xfId="12" applyNumberFormat="1" applyFont="1" applyBorder="1"/>
    <xf numFmtId="166" fontId="9" fillId="0" borderId="3" xfId="12" applyNumberFormat="1" applyFont="1" applyBorder="1"/>
    <xf numFmtId="0" fontId="31" fillId="0" borderId="7" xfId="0" applyFont="1" applyBorder="1" applyAlignment="1">
      <alignment horizontal="center" vertical="top" wrapText="1"/>
    </xf>
    <xf numFmtId="0" fontId="30" fillId="0" borderId="7" xfId="0" applyFont="1" applyBorder="1" applyAlignment="1">
      <alignment horizontal="center" vertical="top" wrapText="1"/>
    </xf>
    <xf numFmtId="0" fontId="31" fillId="0" borderId="7" xfId="0" applyFont="1" applyBorder="1" applyAlignment="1">
      <alignment horizontal="center" wrapText="1"/>
    </xf>
    <xf numFmtId="0" fontId="31" fillId="0" borderId="13" xfId="0" applyFont="1" applyBorder="1" applyAlignment="1">
      <alignment horizontal="center" wrapText="1"/>
    </xf>
    <xf numFmtId="0" fontId="31" fillId="0" borderId="15" xfId="0" applyFont="1" applyBorder="1" applyAlignment="1">
      <alignment horizontal="center" wrapText="1"/>
    </xf>
    <xf numFmtId="0" fontId="24" fillId="0" borderId="0" xfId="0" applyFont="1" applyAlignment="1">
      <alignment vertical="center"/>
    </xf>
    <xf numFmtId="0" fontId="30" fillId="5" borderId="13" xfId="0" applyFont="1" applyFill="1" applyBorder="1" applyAlignment="1">
      <alignment horizontal="center" vertical="center" wrapText="1"/>
    </xf>
    <xf numFmtId="0" fontId="30" fillId="13" borderId="15" xfId="0" applyFont="1" applyFill="1" applyBorder="1" applyAlignment="1">
      <alignment horizontal="center" vertical="center" wrapText="1"/>
    </xf>
    <xf numFmtId="0" fontId="22" fillId="0" borderId="0" xfId="0" applyFont="1"/>
    <xf numFmtId="0" fontId="22" fillId="0" borderId="4" xfId="0" applyFont="1" applyBorder="1"/>
    <xf numFmtId="0" fontId="42" fillId="0" borderId="13" xfId="0" applyFont="1" applyBorder="1" applyAlignment="1">
      <alignment vertical="top" wrapText="1"/>
    </xf>
    <xf numFmtId="0" fontId="31" fillId="6" borderId="8" xfId="0" applyFont="1" applyFill="1" applyBorder="1" applyAlignment="1">
      <alignment vertical="top" wrapText="1"/>
    </xf>
    <xf numFmtId="0" fontId="31" fillId="6" borderId="4" xfId="0" applyFont="1" applyFill="1" applyBorder="1" applyAlignment="1">
      <alignment horizontal="center" vertical="top" wrapText="1"/>
    </xf>
    <xf numFmtId="0" fontId="31" fillId="0" borderId="2" xfId="0" applyFont="1" applyBorder="1" applyAlignment="1">
      <alignment horizontal="center" vertical="top" wrapText="1"/>
    </xf>
    <xf numFmtId="0" fontId="31" fillId="6" borderId="10" xfId="0" applyFont="1" applyFill="1" applyBorder="1" applyAlignment="1">
      <alignment vertical="top" wrapText="1"/>
    </xf>
    <xf numFmtId="0" fontId="31" fillId="0" borderId="4" xfId="0" applyFont="1" applyBorder="1" applyAlignment="1">
      <alignment horizontal="justify" vertical="center" wrapText="1"/>
    </xf>
    <xf numFmtId="0" fontId="31" fillId="0" borderId="0" xfId="0" applyFont="1" applyAlignment="1">
      <alignment horizontal="justify" vertical="center" wrapText="1"/>
    </xf>
    <xf numFmtId="0" fontId="30" fillId="5" borderId="9" xfId="0" applyFont="1" applyFill="1" applyBorder="1" applyAlignment="1">
      <alignment horizontal="center" vertical="center" wrapText="1"/>
    </xf>
    <xf numFmtId="0" fontId="30" fillId="5" borderId="3" xfId="0" applyFont="1" applyFill="1" applyBorder="1" applyAlignment="1">
      <alignment vertical="center" wrapText="1"/>
    </xf>
    <xf numFmtId="0" fontId="30" fillId="5" borderId="0" xfId="0" applyFont="1" applyFill="1" applyAlignment="1">
      <alignment vertical="center" wrapText="1"/>
    </xf>
    <xf numFmtId="0" fontId="30" fillId="0" borderId="8" xfId="0" applyFont="1" applyBorder="1" applyAlignment="1">
      <alignment horizontal="justify" vertical="center" wrapText="1"/>
    </xf>
    <xf numFmtId="0" fontId="31" fillId="5" borderId="2" xfId="0" applyFont="1" applyFill="1" applyBorder="1" applyAlignment="1">
      <alignment horizontal="center" vertical="center" wrapText="1"/>
    </xf>
    <xf numFmtId="0" fontId="43" fillId="0" borderId="10" xfId="0" applyFont="1" applyBorder="1" applyAlignment="1">
      <alignment horizontal="center" vertical="center" wrapText="1"/>
    </xf>
    <xf numFmtId="0" fontId="43" fillId="0" borderId="4" xfId="0" applyFont="1" applyBorder="1" applyAlignment="1">
      <alignment horizontal="center" vertical="center" wrapText="1"/>
    </xf>
    <xf numFmtId="166" fontId="30" fillId="0" borderId="13" xfId="0" applyNumberFormat="1" applyFont="1" applyBorder="1" applyAlignment="1">
      <alignment vertical="center"/>
    </xf>
    <xf numFmtId="0" fontId="37" fillId="0" borderId="9" xfId="0" applyFont="1" applyBorder="1" applyAlignment="1">
      <alignment vertical="center" wrapText="1"/>
    </xf>
    <xf numFmtId="0" fontId="28" fillId="5" borderId="11" xfId="0" applyFont="1" applyFill="1" applyBorder="1" applyAlignment="1">
      <alignment horizontal="center" vertical="top" wrapText="1"/>
    </xf>
    <xf numFmtId="0" fontId="28" fillId="5" borderId="7" xfId="0" applyFont="1" applyFill="1" applyBorder="1" applyAlignment="1">
      <alignment horizontal="center" vertical="center" wrapText="1"/>
    </xf>
    <xf numFmtId="166" fontId="30" fillId="0" borderId="4" xfId="0" applyNumberFormat="1" applyFont="1" applyBorder="1" applyAlignment="1">
      <alignment horizontal="center" vertical="top" wrapText="1"/>
    </xf>
    <xf numFmtId="0" fontId="30" fillId="0" borderId="10" xfId="0" applyFont="1" applyBorder="1" applyAlignment="1">
      <alignment horizontal="left" vertical="center" wrapText="1"/>
    </xf>
    <xf numFmtId="0" fontId="26" fillId="0" borderId="0" xfId="0" applyFont="1" applyAlignment="1">
      <alignment vertical="top" wrapText="1"/>
    </xf>
    <xf numFmtId="0" fontId="30" fillId="0" borderId="8" xfId="0" applyFont="1" applyBorder="1" applyAlignment="1">
      <alignment vertical="center" wrapText="1"/>
    </xf>
    <xf numFmtId="166" fontId="30" fillId="0" borderId="13" xfId="0" applyNumberFormat="1" applyFont="1" applyBorder="1" applyAlignment="1">
      <alignment horizontal="right" vertical="center" wrapText="1"/>
    </xf>
    <xf numFmtId="166" fontId="47" fillId="0" borderId="3" xfId="12" applyNumberFormat="1" applyFont="1" applyBorder="1" applyAlignment="1" applyProtection="1">
      <alignment vertical="center"/>
      <protection locked="0"/>
    </xf>
    <xf numFmtId="0" fontId="9" fillId="0" borderId="12" xfId="12" applyFont="1" applyBorder="1" applyAlignment="1" applyProtection="1">
      <alignment horizontal="center" vertical="center"/>
      <protection locked="0"/>
    </xf>
    <xf numFmtId="0" fontId="31" fillId="5" borderId="13" xfId="0" applyFont="1" applyFill="1" applyBorder="1" applyAlignment="1">
      <alignment horizontal="center" vertical="center" wrapText="1"/>
    </xf>
    <xf numFmtId="0" fontId="31" fillId="5" borderId="12" xfId="0" applyFont="1" applyFill="1" applyBorder="1" applyAlignment="1">
      <alignment horizontal="center" vertical="center" wrapText="1"/>
    </xf>
    <xf numFmtId="0" fontId="28" fillId="9" borderId="59" xfId="0" applyFont="1" applyFill="1" applyBorder="1" applyAlignment="1">
      <alignment horizontal="center" vertical="top" wrapText="1"/>
    </xf>
    <xf numFmtId="0" fontId="0" fillId="0" borderId="58" xfId="0" applyBorder="1"/>
    <xf numFmtId="0" fontId="31" fillId="0" borderId="10" xfId="0" applyFont="1" applyBorder="1" applyAlignment="1">
      <alignment horizontal="left" vertical="center" wrapText="1"/>
    </xf>
    <xf numFmtId="0" fontId="31" fillId="5" borderId="9" xfId="0" applyFont="1" applyFill="1" applyBorder="1" applyAlignment="1">
      <alignment horizontal="right" vertical="center" wrapText="1"/>
    </xf>
    <xf numFmtId="0" fontId="30" fillId="0" borderId="13" xfId="0" applyFont="1" applyBorder="1" applyAlignment="1">
      <alignment horizontal="right" vertical="center" wrapText="1"/>
    </xf>
    <xf numFmtId="0" fontId="30" fillId="13" borderId="10" xfId="0" applyFont="1" applyFill="1" applyBorder="1" applyAlignment="1">
      <alignment horizontal="left" vertical="center" wrapText="1"/>
    </xf>
    <xf numFmtId="0" fontId="31" fillId="0" borderId="10" xfId="0" applyFont="1" applyBorder="1" applyAlignment="1">
      <alignment horizontal="justify" vertical="center" wrapText="1"/>
    </xf>
    <xf numFmtId="0" fontId="42" fillId="0" borderId="4" xfId="0" applyFont="1" applyBorder="1" applyAlignment="1">
      <alignment vertical="top" wrapText="1"/>
    </xf>
    <xf numFmtId="0" fontId="30" fillId="0" borderId="5" xfId="0" applyFont="1" applyBorder="1" applyAlignment="1">
      <alignment wrapText="1"/>
    </xf>
    <xf numFmtId="0" fontId="30" fillId="0" borderId="5" xfId="0" applyFont="1" applyBorder="1" applyAlignment="1">
      <alignment horizontal="left" vertical="center" wrapText="1"/>
    </xf>
    <xf numFmtId="0" fontId="30" fillId="0" borderId="15" xfId="0" applyFont="1" applyBorder="1" applyAlignment="1">
      <alignment wrapText="1"/>
    </xf>
    <xf numFmtId="0" fontId="30" fillId="0" borderId="12" xfId="0" applyFont="1" applyBorder="1" applyAlignment="1">
      <alignment horizontal="left" vertical="center" wrapText="1"/>
    </xf>
    <xf numFmtId="0" fontId="32" fillId="0" borderId="5" xfId="0" applyFont="1" applyBorder="1" applyAlignment="1">
      <alignment horizontal="left" vertical="center" wrapText="1"/>
    </xf>
    <xf numFmtId="0" fontId="31" fillId="0" borderId="5" xfId="0" applyFont="1" applyBorder="1" applyAlignment="1">
      <alignment wrapText="1"/>
    </xf>
    <xf numFmtId="0" fontId="30" fillId="0" borderId="7" xfId="0" applyFont="1" applyBorder="1" applyAlignment="1">
      <alignment wrapText="1"/>
    </xf>
    <xf numFmtId="0" fontId="32" fillId="0" borderId="7" xfId="0" applyFont="1" applyBorder="1" applyAlignment="1">
      <alignment wrapText="1"/>
    </xf>
    <xf numFmtId="0" fontId="30" fillId="0" borderId="12" xfId="0" applyFont="1" applyBorder="1" applyAlignment="1">
      <alignment wrapText="1"/>
    </xf>
    <xf numFmtId="0" fontId="32" fillId="0" borderId="5" xfId="0" applyFont="1" applyBorder="1" applyAlignment="1">
      <alignment wrapText="1"/>
    </xf>
    <xf numFmtId="0" fontId="30" fillId="5" borderId="4" xfId="0" applyFont="1" applyFill="1" applyBorder="1" applyAlignment="1">
      <alignment horizontal="center" wrapText="1"/>
    </xf>
    <xf numFmtId="0" fontId="31" fillId="0" borderId="0" xfId="0" applyFont="1" applyAlignment="1">
      <alignment horizontal="center" vertical="top" wrapText="1"/>
    </xf>
    <xf numFmtId="0" fontId="31" fillId="0" borderId="10" xfId="0" applyFont="1" applyBorder="1" applyAlignment="1">
      <alignment horizontal="justify" vertical="top" wrapText="1"/>
    </xf>
    <xf numFmtId="0" fontId="32" fillId="0" borderId="10" xfId="0" applyFont="1" applyBorder="1" applyAlignment="1">
      <alignment horizontal="justify" vertical="top" wrapText="1"/>
    </xf>
    <xf numFmtId="0" fontId="32" fillId="0" borderId="10" xfId="0" applyFont="1" applyBorder="1" applyAlignment="1">
      <alignment horizontal="center" vertical="center" wrapText="1"/>
    </xf>
    <xf numFmtId="0" fontId="31" fillId="0" borderId="7" xfId="0" applyFont="1" applyBorder="1" applyAlignment="1">
      <alignment horizontal="left" vertical="center" wrapText="1"/>
    </xf>
    <xf numFmtId="0" fontId="30" fillId="0" borderId="10" xfId="0" applyFont="1" applyBorder="1" applyAlignment="1">
      <alignment horizontal="left" vertical="top" wrapText="1"/>
    </xf>
    <xf numFmtId="0" fontId="30" fillId="13" borderId="8" xfId="0" applyFont="1" applyFill="1" applyBorder="1" applyAlignment="1">
      <alignment horizontal="left" vertical="center" wrapText="1"/>
    </xf>
    <xf numFmtId="0" fontId="31" fillId="0" borderId="8" xfId="0" applyFont="1" applyBorder="1" applyAlignment="1">
      <alignment horizontal="left" vertical="center" wrapText="1"/>
    </xf>
    <xf numFmtId="0" fontId="30" fillId="13" borderId="13" xfId="0" applyFont="1" applyFill="1" applyBorder="1" applyAlignment="1">
      <alignment horizontal="center" vertical="center" wrapText="1"/>
    </xf>
    <xf numFmtId="0" fontId="31" fillId="0" borderId="8" xfId="0" applyFont="1" applyBorder="1" applyAlignment="1">
      <alignment horizontal="justify" vertical="top" wrapText="1"/>
    </xf>
    <xf numFmtId="0" fontId="31" fillId="0" borderId="0" xfId="0" applyFont="1" applyAlignment="1">
      <alignment vertical="top" wrapText="1"/>
    </xf>
    <xf numFmtId="0" fontId="33" fillId="0" borderId="10" xfId="0" applyFont="1" applyBorder="1" applyAlignment="1">
      <alignment vertical="top" wrapText="1"/>
    </xf>
    <xf numFmtId="0" fontId="32" fillId="0" borderId="10" xfId="0" applyFont="1" applyBorder="1" applyAlignment="1">
      <alignment vertical="top" wrapText="1"/>
    </xf>
    <xf numFmtId="0" fontId="31" fillId="0" borderId="8" xfId="0" applyFont="1" applyBorder="1" applyAlignment="1">
      <alignment wrapText="1"/>
    </xf>
    <xf numFmtId="0" fontId="31" fillId="0" borderId="10" xfId="0" applyFont="1" applyBorder="1" applyAlignment="1">
      <alignment wrapText="1"/>
    </xf>
    <xf numFmtId="0" fontId="30" fillId="0" borderId="15" xfId="0" applyFont="1" applyBorder="1" applyAlignment="1">
      <alignment vertical="top" wrapText="1"/>
    </xf>
    <xf numFmtId="0" fontId="31" fillId="0" borderId="12" xfId="0" applyFont="1" applyBorder="1" applyAlignment="1">
      <alignment vertical="top" wrapText="1"/>
    </xf>
    <xf numFmtId="0" fontId="30" fillId="0" borderId="7" xfId="0" applyFont="1" applyBorder="1" applyAlignment="1">
      <alignment vertical="top" wrapText="1"/>
    </xf>
    <xf numFmtId="0" fontId="4" fillId="0" borderId="5" xfId="0" applyFont="1" applyBorder="1" applyAlignment="1">
      <alignment horizontal="center" vertical="top" wrapText="1"/>
    </xf>
    <xf numFmtId="0" fontId="4" fillId="0" borderId="5" xfId="0" applyFont="1" applyBorder="1" applyAlignment="1">
      <alignment vertical="top" wrapText="1"/>
    </xf>
    <xf numFmtId="0" fontId="5" fillId="0" borderId="0" xfId="0" applyFont="1" applyAlignment="1">
      <alignment vertical="top" wrapText="1"/>
    </xf>
    <xf numFmtId="0" fontId="30" fillId="0" borderId="15" xfId="0" applyFont="1" applyBorder="1" applyAlignment="1">
      <alignment vertical="center" wrapText="1"/>
    </xf>
    <xf numFmtId="0" fontId="2" fillId="5" borderId="14" xfId="0" applyFont="1" applyFill="1" applyBorder="1" applyAlignment="1">
      <alignment horizontal="center" vertical="top" wrapText="1"/>
    </xf>
    <xf numFmtId="0" fontId="2" fillId="0" borderId="14" xfId="0" applyFont="1" applyBorder="1" applyAlignment="1">
      <alignment horizontal="center" vertical="top" wrapText="1"/>
    </xf>
    <xf numFmtId="0" fontId="30" fillId="2" borderId="9" xfId="0" applyFont="1" applyFill="1" applyBorder="1" applyAlignment="1">
      <alignment horizontal="center" vertical="center" wrapText="1"/>
    </xf>
    <xf numFmtId="0" fontId="30" fillId="0" borderId="0" xfId="0" applyFont="1" applyAlignment="1">
      <alignment horizontal="justify" vertical="center" wrapText="1"/>
    </xf>
    <xf numFmtId="0" fontId="30" fillId="0" borderId="5" xfId="0" applyFont="1" applyBorder="1" applyAlignment="1">
      <alignment horizontal="justify" vertical="center" wrapText="1"/>
    </xf>
    <xf numFmtId="0" fontId="31" fillId="0" borderId="5" xfId="0" applyFont="1" applyBorder="1" applyAlignment="1">
      <alignment horizontal="center" vertical="top" wrapText="1"/>
    </xf>
    <xf numFmtId="0" fontId="31" fillId="0" borderId="5" xfId="0" applyFont="1" applyBorder="1" applyAlignment="1">
      <alignment vertical="top" wrapText="1"/>
    </xf>
    <xf numFmtId="0" fontId="32" fillId="0" borderId="0" xfId="0" applyFont="1" applyAlignment="1">
      <alignment vertical="top" wrapText="1"/>
    </xf>
    <xf numFmtId="0" fontId="31" fillId="0" borderId="8" xfId="0" applyFont="1" applyBorder="1" applyAlignment="1">
      <alignment horizontal="justify" vertical="center" wrapText="1"/>
    </xf>
    <xf numFmtId="0" fontId="31" fillId="0" borderId="5" xfId="0" applyFont="1" applyBorder="1" applyAlignment="1">
      <alignment horizontal="justify" vertical="top" wrapText="1"/>
    </xf>
    <xf numFmtId="0" fontId="32" fillId="0" borderId="0" xfId="0" applyFont="1" applyAlignment="1">
      <alignment horizontal="justify" vertical="top" wrapText="1"/>
    </xf>
    <xf numFmtId="0" fontId="30" fillId="0" borderId="5" xfId="0" applyFont="1" applyBorder="1" applyAlignment="1">
      <alignment horizontal="justify" vertical="top" wrapText="1"/>
    </xf>
    <xf numFmtId="0" fontId="30" fillId="0" borderId="5" xfId="0" applyFont="1" applyBorder="1" applyAlignment="1">
      <alignment vertical="top" wrapText="1"/>
    </xf>
    <xf numFmtId="0" fontId="32" fillId="0" borderId="12" xfId="0" applyFont="1" applyBorder="1" applyAlignment="1">
      <alignment horizontal="justify" vertical="top" wrapText="1"/>
    </xf>
    <xf numFmtId="0" fontId="32" fillId="0" borderId="5" xfId="0" applyFont="1" applyBorder="1" applyAlignment="1">
      <alignment vertical="top" wrapText="1"/>
    </xf>
    <xf numFmtId="0" fontId="0" fillId="0" borderId="0" xfId="0" applyAlignment="1">
      <alignment horizontal="center"/>
    </xf>
    <xf numFmtId="0" fontId="28" fillId="9" borderId="60" xfId="0" applyFont="1" applyFill="1" applyBorder="1" applyAlignment="1">
      <alignment horizontal="center" vertical="top" wrapText="1"/>
    </xf>
    <xf numFmtId="0" fontId="28" fillId="0" borderId="4" xfId="0" applyFont="1" applyBorder="1" applyAlignment="1">
      <alignment vertical="top" wrapText="1"/>
    </xf>
    <xf numFmtId="0" fontId="26" fillId="9" borderId="4" xfId="0" applyFont="1" applyFill="1" applyBorder="1" applyAlignment="1">
      <alignment vertical="top" wrapText="1"/>
    </xf>
    <xf numFmtId="0" fontId="28" fillId="0" borderId="4" xfId="0" applyFont="1" applyBorder="1" applyAlignment="1">
      <alignment horizontal="center" vertical="top" wrapText="1"/>
    </xf>
    <xf numFmtId="0" fontId="26" fillId="0" borderId="4" xfId="0" applyFont="1" applyBorder="1" applyAlignment="1">
      <alignment vertical="top" wrapText="1"/>
    </xf>
    <xf numFmtId="0" fontId="44" fillId="0" borderId="4" xfId="0" applyFont="1" applyBorder="1" applyAlignment="1">
      <alignment vertical="top" wrapText="1"/>
    </xf>
    <xf numFmtId="0" fontId="26" fillId="8" borderId="4" xfId="0" applyFont="1" applyFill="1" applyBorder="1" applyAlignment="1">
      <alignment vertical="top" wrapText="1"/>
    </xf>
    <xf numFmtId="0" fontId="26" fillId="5" borderId="4" xfId="0" applyFont="1" applyFill="1" applyBorder="1" applyAlignment="1">
      <alignment vertical="top" wrapText="1"/>
    </xf>
    <xf numFmtId="0" fontId="31" fillId="5" borderId="16" xfId="0" applyFont="1" applyFill="1" applyBorder="1" applyAlignment="1">
      <alignment horizontal="center" vertical="center" wrapText="1"/>
    </xf>
    <xf numFmtId="0" fontId="31" fillId="5" borderId="4" xfId="0" applyFont="1" applyFill="1" applyBorder="1" applyAlignment="1">
      <alignment horizontal="center" vertical="center" wrapText="1"/>
    </xf>
    <xf numFmtId="0" fontId="28" fillId="9" borderId="11" xfId="0" applyFont="1" applyFill="1" applyBorder="1" applyAlignment="1">
      <alignment horizontal="center" vertical="top" wrapText="1"/>
    </xf>
    <xf numFmtId="0" fontId="28" fillId="0" borderId="4" xfId="0" applyFont="1" applyBorder="1" applyAlignment="1">
      <alignment horizontal="center" vertical="center" wrapText="1"/>
    </xf>
    <xf numFmtId="0" fontId="28" fillId="0" borderId="4" xfId="0" applyFont="1" applyBorder="1" applyAlignment="1">
      <alignment vertical="center" wrapText="1"/>
    </xf>
    <xf numFmtId="166" fontId="8" fillId="0" borderId="0" xfId="12" applyNumberFormat="1"/>
    <xf numFmtId="168" fontId="8" fillId="0" borderId="0" xfId="12" applyNumberFormat="1"/>
    <xf numFmtId="166" fontId="37" fillId="0" borderId="1" xfId="0" applyNumberFormat="1" applyFont="1" applyBorder="1" applyAlignment="1">
      <alignment horizontal="center" vertical="center" wrapText="1"/>
    </xf>
    <xf numFmtId="166" fontId="37" fillId="0" borderId="5" xfId="0" applyNumberFormat="1" applyFont="1" applyBorder="1" applyAlignment="1">
      <alignment horizontal="center" vertical="center" wrapText="1"/>
    </xf>
    <xf numFmtId="166" fontId="37" fillId="0" borderId="13" xfId="0" applyNumberFormat="1" applyFont="1" applyBorder="1" applyAlignment="1">
      <alignment horizontal="right" vertical="center" wrapText="1"/>
    </xf>
    <xf numFmtId="166" fontId="37" fillId="0" borderId="4" xfId="0" applyNumberFormat="1" applyFont="1" applyBorder="1" applyAlignment="1">
      <alignment horizontal="center" vertical="center" wrapText="1"/>
    </xf>
    <xf numFmtId="166" fontId="37" fillId="0" borderId="14" xfId="0" applyNumberFormat="1" applyFont="1" applyBorder="1" applyAlignment="1">
      <alignment horizontal="center" vertical="center" wrapText="1"/>
    </xf>
    <xf numFmtId="166" fontId="42" fillId="7" borderId="4" xfId="0" applyNumberFormat="1" applyFont="1" applyFill="1" applyBorder="1" applyAlignment="1">
      <alignment horizontal="right" vertical="center" wrapText="1"/>
    </xf>
    <xf numFmtId="166" fontId="37" fillId="0" borderId="4" xfId="0" applyNumberFormat="1" applyFont="1" applyBorder="1" applyAlignment="1">
      <alignment vertical="center" wrapText="1"/>
    </xf>
    <xf numFmtId="166" fontId="42" fillId="7" borderId="4" xfId="0" applyNumberFormat="1" applyFont="1" applyFill="1" applyBorder="1" applyAlignment="1">
      <alignment vertical="center" wrapText="1"/>
    </xf>
    <xf numFmtId="4" fontId="37" fillId="0" borderId="13" xfId="0" applyNumberFormat="1" applyFont="1" applyBorder="1" applyAlignment="1">
      <alignment vertical="center" wrapText="1"/>
    </xf>
    <xf numFmtId="166" fontId="37" fillId="0" borderId="13" xfId="0" applyNumberFormat="1" applyFont="1" applyBorder="1" applyAlignment="1">
      <alignment vertical="center" wrapText="1"/>
    </xf>
    <xf numFmtId="166" fontId="37" fillId="0" borderId="16" xfId="0" applyNumberFormat="1" applyFont="1" applyBorder="1" applyAlignment="1">
      <alignment vertical="center" wrapText="1"/>
    </xf>
    <xf numFmtId="166" fontId="37" fillId="0" borderId="12" xfId="0" applyNumberFormat="1" applyFont="1" applyBorder="1" applyAlignment="1">
      <alignment horizontal="center" vertical="center" wrapText="1"/>
    </xf>
    <xf numFmtId="166" fontId="37" fillId="0" borderId="8" xfId="0" applyNumberFormat="1" applyFont="1" applyBorder="1" applyAlignment="1">
      <alignment horizontal="center" vertical="center" wrapText="1"/>
    </xf>
    <xf numFmtId="166" fontId="37" fillId="0" borderId="14" xfId="0" applyNumberFormat="1" applyFont="1" applyBorder="1" applyAlignment="1">
      <alignment vertical="center" wrapText="1"/>
    </xf>
    <xf numFmtId="166" fontId="37" fillId="0" borderId="9" xfId="0" applyNumberFormat="1" applyFont="1" applyBorder="1" applyAlignment="1">
      <alignment vertical="center" wrapText="1"/>
    </xf>
    <xf numFmtId="166" fontId="37" fillId="0" borderId="15" xfId="0" applyNumberFormat="1" applyFont="1" applyBorder="1" applyAlignment="1">
      <alignment horizontal="center" vertical="center" wrapText="1"/>
    </xf>
    <xf numFmtId="0" fontId="37" fillId="2" borderId="5" xfId="0" applyFont="1" applyFill="1" applyBorder="1" applyAlignment="1">
      <alignment vertical="center" wrapText="1"/>
    </xf>
    <xf numFmtId="166" fontId="37" fillId="0" borderId="1" xfId="0" applyNumberFormat="1" applyFont="1" applyBorder="1" applyAlignment="1">
      <alignment vertical="center" wrapText="1"/>
    </xf>
    <xf numFmtId="166" fontId="37" fillId="0" borderId="5" xfId="0" applyNumberFormat="1" applyFont="1" applyBorder="1" applyAlignment="1">
      <alignment vertical="center" wrapText="1"/>
    </xf>
    <xf numFmtId="166" fontId="42" fillId="0" borderId="4" xfId="0" applyNumberFormat="1" applyFont="1" applyBorder="1" applyAlignment="1">
      <alignment vertical="center" wrapText="1"/>
    </xf>
    <xf numFmtId="0" fontId="37" fillId="5" borderId="13" xfId="0" applyFont="1" applyFill="1" applyBorder="1" applyAlignment="1">
      <alignment vertical="center" wrapText="1"/>
    </xf>
    <xf numFmtId="166" fontId="37" fillId="10" borderId="1" xfId="0" applyNumberFormat="1" applyFont="1" applyFill="1" applyBorder="1" applyAlignment="1">
      <alignment vertical="center" wrapText="1"/>
    </xf>
    <xf numFmtId="166" fontId="37" fillId="10" borderId="5" xfId="0" applyNumberFormat="1" applyFont="1" applyFill="1" applyBorder="1" applyAlignment="1">
      <alignment vertical="center" wrapText="1"/>
    </xf>
    <xf numFmtId="166" fontId="37" fillId="0" borderId="19" xfId="0" applyNumberFormat="1" applyFont="1" applyBorder="1" applyAlignment="1">
      <alignment vertical="center" wrapText="1"/>
    </xf>
    <xf numFmtId="166" fontId="37" fillId="0" borderId="20" xfId="0" applyNumberFormat="1" applyFont="1" applyBorder="1" applyAlignment="1">
      <alignment vertical="center" wrapText="1"/>
    </xf>
    <xf numFmtId="166" fontId="37" fillId="0" borderId="21" xfId="0" applyNumberFormat="1" applyFont="1" applyBorder="1" applyAlignment="1">
      <alignment vertical="center" wrapText="1"/>
    </xf>
    <xf numFmtId="166" fontId="37" fillId="0" borderId="13" xfId="0" applyNumberFormat="1" applyFont="1" applyBorder="1" applyAlignment="1">
      <alignment horizontal="center" vertical="center" wrapText="1"/>
    </xf>
    <xf numFmtId="166" fontId="37" fillId="0" borderId="13" xfId="0" applyNumberFormat="1" applyFont="1" applyBorder="1" applyAlignment="1">
      <alignment horizontal="right" wrapText="1"/>
    </xf>
    <xf numFmtId="166" fontId="37" fillId="0" borderId="4" xfId="0" applyNumberFormat="1" applyFont="1" applyBorder="1" applyAlignment="1">
      <alignment wrapText="1"/>
    </xf>
    <xf numFmtId="166" fontId="37" fillId="0" borderId="1" xfId="0" applyNumberFormat="1" applyFont="1" applyBorder="1" applyAlignment="1">
      <alignment wrapText="1"/>
    </xf>
    <xf numFmtId="166" fontId="37" fillId="0" borderId="5" xfId="0" applyNumberFormat="1" applyFont="1" applyBorder="1" applyAlignment="1">
      <alignment wrapText="1"/>
    </xf>
    <xf numFmtId="165" fontId="30" fillId="0" borderId="1" xfId="1" applyFont="1" applyBorder="1" applyAlignment="1">
      <alignment horizontal="center" vertical="center" wrapText="1"/>
    </xf>
    <xf numFmtId="166" fontId="37" fillId="0" borderId="11" xfId="0" applyNumberFormat="1" applyFont="1" applyBorder="1" applyAlignment="1">
      <alignment vertical="center" wrapText="1"/>
    </xf>
    <xf numFmtId="166" fontId="37" fillId="0" borderId="8" xfId="0" applyNumberFormat="1" applyFont="1" applyBorder="1" applyAlignment="1">
      <alignment vertical="center" wrapText="1"/>
    </xf>
    <xf numFmtId="166" fontId="37" fillId="0" borderId="3" xfId="0" applyNumberFormat="1" applyFont="1" applyBorder="1" applyAlignment="1">
      <alignment vertical="center" wrapText="1"/>
    </xf>
    <xf numFmtId="166" fontId="37" fillId="0" borderId="0" xfId="0" applyNumberFormat="1" applyFont="1" applyAlignment="1">
      <alignment vertical="center" wrapText="1"/>
    </xf>
    <xf numFmtId="166" fontId="37" fillId="2" borderId="5" xfId="0" applyNumberFormat="1" applyFont="1" applyFill="1" applyBorder="1" applyAlignment="1">
      <alignment vertical="center" wrapText="1"/>
    </xf>
    <xf numFmtId="166" fontId="37" fillId="8" borderId="13" xfId="0" applyNumberFormat="1" applyFont="1" applyFill="1" applyBorder="1" applyAlignment="1">
      <alignment horizontal="center" vertical="center" wrapText="1"/>
    </xf>
    <xf numFmtId="166" fontId="37" fillId="8" borderId="13" xfId="0" applyNumberFormat="1" applyFont="1" applyFill="1" applyBorder="1" applyAlignment="1">
      <alignment vertical="center" wrapText="1"/>
    </xf>
    <xf numFmtId="166" fontId="37" fillId="8" borderId="4" xfId="0" applyNumberFormat="1" applyFont="1" applyFill="1" applyBorder="1" applyAlignment="1">
      <alignment horizontal="center" vertical="center" wrapText="1"/>
    </xf>
    <xf numFmtId="166" fontId="37" fillId="8" borderId="4" xfId="0" applyNumberFormat="1" applyFont="1" applyFill="1" applyBorder="1" applyAlignment="1">
      <alignment vertical="center" wrapText="1"/>
    </xf>
    <xf numFmtId="166" fontId="37" fillId="8" borderId="14" xfId="0" applyNumberFormat="1" applyFont="1" applyFill="1" applyBorder="1" applyAlignment="1">
      <alignment vertical="center" wrapText="1"/>
    </xf>
    <xf numFmtId="166" fontId="37" fillId="8" borderId="1" xfId="0" applyNumberFormat="1" applyFont="1" applyFill="1" applyBorder="1" applyAlignment="1">
      <alignment horizontal="center" vertical="center" wrapText="1"/>
    </xf>
    <xf numFmtId="166" fontId="37" fillId="8" borderId="5" xfId="0" applyNumberFormat="1" applyFont="1" applyFill="1" applyBorder="1" applyAlignment="1">
      <alignment vertical="center" wrapText="1"/>
    </xf>
    <xf numFmtId="166" fontId="48" fillId="0" borderId="4" xfId="0" applyNumberFormat="1" applyFont="1" applyBorder="1"/>
    <xf numFmtId="0" fontId="37" fillId="2" borderId="1" xfId="0" applyFont="1" applyFill="1" applyBorder="1" applyAlignment="1">
      <alignment horizontal="center" vertical="center" wrapText="1"/>
    </xf>
    <xf numFmtId="0" fontId="37" fillId="8" borderId="14" xfId="0" applyFont="1" applyFill="1" applyBorder="1" applyAlignment="1">
      <alignment vertical="center" wrapText="1"/>
    </xf>
    <xf numFmtId="166" fontId="42" fillId="8" borderId="4" xfId="0" applyNumberFormat="1" applyFont="1" applyFill="1" applyBorder="1" applyAlignment="1">
      <alignment vertical="center" wrapText="1"/>
    </xf>
    <xf numFmtId="166" fontId="37" fillId="2" borderId="1" xfId="0" applyNumberFormat="1" applyFont="1" applyFill="1" applyBorder="1" applyAlignment="1">
      <alignment horizontal="center" vertical="center" wrapText="1"/>
    </xf>
    <xf numFmtId="166" fontId="37" fillId="0" borderId="14" xfId="0" applyNumberFormat="1" applyFont="1" applyBorder="1" applyAlignment="1">
      <alignment horizontal="center" wrapText="1"/>
    </xf>
    <xf numFmtId="166" fontId="37" fillId="0" borderId="14" xfId="0" applyNumberFormat="1" applyFont="1" applyBorder="1" applyAlignment="1">
      <alignment wrapText="1"/>
    </xf>
    <xf numFmtId="166" fontId="37" fillId="0" borderId="1" xfId="0" applyNumberFormat="1" applyFont="1" applyBorder="1" applyAlignment="1">
      <alignment horizontal="center" wrapText="1"/>
    </xf>
    <xf numFmtId="0" fontId="49" fillId="7" borderId="5" xfId="0" applyFont="1" applyFill="1" applyBorder="1" applyAlignment="1">
      <alignment horizontal="right" vertical="center" wrapText="1"/>
    </xf>
    <xf numFmtId="166" fontId="49" fillId="7" borderId="11" xfId="0" applyNumberFormat="1" applyFont="1" applyFill="1" applyBorder="1" applyAlignment="1">
      <alignment vertical="center" wrapText="1"/>
    </xf>
    <xf numFmtId="166" fontId="37" fillId="8" borderId="4" xfId="0" applyNumberFormat="1" applyFont="1" applyFill="1" applyBorder="1" applyAlignment="1">
      <alignment horizontal="right" vertical="center" wrapText="1"/>
    </xf>
    <xf numFmtId="166" fontId="42" fillId="8" borderId="14" xfId="0" applyNumberFormat="1" applyFont="1" applyFill="1" applyBorder="1" applyAlignment="1">
      <alignment horizontal="right" vertical="center" wrapText="1"/>
    </xf>
    <xf numFmtId="166" fontId="37" fillId="0" borderId="4" xfId="0" applyNumberFormat="1" applyFont="1" applyBorder="1" applyAlignment="1">
      <alignment vertical="top" wrapText="1"/>
    </xf>
    <xf numFmtId="166" fontId="37" fillId="0" borderId="4" xfId="0" applyNumberFormat="1" applyFont="1" applyBorder="1" applyAlignment="1">
      <alignment horizontal="center" vertical="top" wrapText="1"/>
    </xf>
    <xf numFmtId="0" fontId="37" fillId="2" borderId="4" xfId="0" applyFont="1" applyFill="1" applyBorder="1" applyAlignment="1">
      <alignment horizontal="center" vertical="top" wrapText="1"/>
    </xf>
    <xf numFmtId="0" fontId="31" fillId="0" borderId="5" xfId="0" applyFont="1" applyBorder="1" applyAlignment="1">
      <alignment horizontal="center" vertical="center" wrapText="1"/>
    </xf>
    <xf numFmtId="0" fontId="30" fillId="0" borderId="3" xfId="0" applyFont="1" applyBorder="1" applyAlignment="1">
      <alignment horizontal="center" vertical="center" wrapText="1"/>
    </xf>
    <xf numFmtId="0" fontId="31" fillId="0" borderId="11" xfId="0" applyFont="1" applyBorder="1" applyAlignment="1">
      <alignment horizontal="left" vertical="center" wrapText="1"/>
    </xf>
    <xf numFmtId="0" fontId="30" fillId="0" borderId="0" xfId="0" applyFont="1" applyAlignment="1">
      <alignment horizontal="left" vertical="top" wrapText="1"/>
    </xf>
    <xf numFmtId="0" fontId="30" fillId="0" borderId="0" xfId="0" applyFont="1" applyAlignment="1">
      <alignment horizontal="left" vertical="center" wrapText="1"/>
    </xf>
    <xf numFmtId="0" fontId="30" fillId="0" borderId="7" xfId="0" applyFont="1" applyBorder="1" applyAlignment="1">
      <alignment horizontal="left" vertical="center" wrapText="1"/>
    </xf>
    <xf numFmtId="0" fontId="30" fillId="0" borderId="8" xfId="0" applyFont="1" applyBorder="1" applyAlignment="1">
      <alignment horizontal="left" vertical="center" wrapText="1"/>
    </xf>
    <xf numFmtId="166" fontId="37" fillId="0" borderId="22" xfId="0" applyNumberFormat="1" applyFont="1" applyBorder="1" applyAlignment="1">
      <alignment horizontal="center" vertical="center" wrapText="1"/>
    </xf>
    <xf numFmtId="166" fontId="37" fillId="2" borderId="4" xfId="0" applyNumberFormat="1" applyFont="1" applyFill="1" applyBorder="1" applyAlignment="1">
      <alignment wrapText="1"/>
    </xf>
    <xf numFmtId="0" fontId="30" fillId="0" borderId="11" xfId="0" applyFont="1" applyBorder="1" applyAlignment="1">
      <alignment horizontal="left" vertical="center" wrapText="1"/>
    </xf>
    <xf numFmtId="0" fontId="30" fillId="0" borderId="7" xfId="0" applyFont="1" applyBorder="1" applyAlignment="1">
      <alignment vertical="center" wrapText="1"/>
    </xf>
    <xf numFmtId="0" fontId="31" fillId="6" borderId="14" xfId="0" applyFont="1" applyFill="1" applyBorder="1" applyAlignment="1">
      <alignment horizontal="center" vertical="center" wrapText="1"/>
    </xf>
    <xf numFmtId="0" fontId="37" fillId="0" borderId="14" xfId="0" applyFont="1" applyBorder="1" applyAlignment="1">
      <alignment horizontal="center" vertical="center" wrapText="1"/>
    </xf>
    <xf numFmtId="0" fontId="31" fillId="0" borderId="8" xfId="0" applyFont="1" applyBorder="1" applyAlignment="1">
      <alignment horizontal="center" vertical="center" wrapText="1"/>
    </xf>
    <xf numFmtId="0" fontId="31" fillId="0" borderId="7" xfId="0" applyFont="1" applyBorder="1" applyAlignment="1">
      <alignment vertical="center" wrapText="1"/>
    </xf>
    <xf numFmtId="0" fontId="31" fillId="0" borderId="8" xfId="0" applyFont="1" applyBorder="1" applyAlignment="1">
      <alignment vertical="center" wrapText="1"/>
    </xf>
    <xf numFmtId="0" fontId="30" fillId="5" borderId="15" xfId="0" applyFont="1" applyFill="1" applyBorder="1" applyAlignment="1">
      <alignment horizontal="center" vertical="center" wrapText="1"/>
    </xf>
    <xf numFmtId="0" fontId="30" fillId="8" borderId="15" xfId="0" applyFont="1" applyFill="1" applyBorder="1" applyAlignment="1">
      <alignment horizontal="center" vertical="center" wrapText="1"/>
    </xf>
    <xf numFmtId="0" fontId="30" fillId="11" borderId="15" xfId="0" applyFont="1" applyFill="1" applyBorder="1" applyAlignment="1">
      <alignment horizontal="center" vertical="center" wrapText="1"/>
    </xf>
    <xf numFmtId="0" fontId="30" fillId="2" borderId="1" xfId="0" applyFont="1" applyFill="1" applyBorder="1" applyAlignment="1">
      <alignment vertical="center" wrapText="1"/>
    </xf>
    <xf numFmtId="0" fontId="31" fillId="0" borderId="10" xfId="0" applyFont="1" applyBorder="1" applyAlignment="1">
      <alignment vertical="center" wrapText="1"/>
    </xf>
    <xf numFmtId="0" fontId="32" fillId="0" borderId="15" xfId="0" applyFont="1" applyBorder="1" applyAlignment="1">
      <alignment horizontal="left" vertical="center" wrapText="1"/>
    </xf>
    <xf numFmtId="0" fontId="28" fillId="0" borderId="12" xfId="12" applyFont="1" applyBorder="1" applyAlignment="1" applyProtection="1">
      <alignment horizontal="center" vertical="center"/>
      <protection locked="0"/>
    </xf>
    <xf numFmtId="0" fontId="43" fillId="0" borderId="0" xfId="12" applyFont="1"/>
    <xf numFmtId="4" fontId="28" fillId="0" borderId="4" xfId="12" applyNumberFormat="1" applyFont="1" applyBorder="1" applyAlignment="1" applyProtection="1">
      <alignment horizontal="center" vertical="center" wrapText="1"/>
      <protection locked="0"/>
    </xf>
    <xf numFmtId="0" fontId="26" fillId="0" borderId="2" xfId="12" applyFont="1" applyBorder="1" applyAlignment="1" applyProtection="1">
      <alignment horizontal="center" vertical="center"/>
      <protection locked="0"/>
    </xf>
    <xf numFmtId="0" fontId="26" fillId="0" borderId="9" xfId="12" applyFont="1" applyBorder="1" applyAlignment="1" applyProtection="1">
      <alignment horizontal="left" vertical="center"/>
      <protection locked="0"/>
    </xf>
    <xf numFmtId="166" fontId="26" fillId="0" borderId="3" xfId="12" applyNumberFormat="1" applyFont="1" applyBorder="1" applyAlignment="1" applyProtection="1">
      <alignment vertical="center"/>
      <protection locked="0"/>
    </xf>
    <xf numFmtId="0" fontId="26" fillId="0" borderId="9" xfId="12" applyFont="1" applyBorder="1" applyAlignment="1" applyProtection="1">
      <alignment vertical="center" wrapText="1"/>
      <protection locked="0"/>
    </xf>
    <xf numFmtId="166" fontId="26" fillId="0" borderId="3" xfId="12" applyNumberFormat="1" applyFont="1" applyBorder="1" applyAlignment="1">
      <alignment vertical="center"/>
    </xf>
    <xf numFmtId="0" fontId="26" fillId="0" borderId="9" xfId="12" applyFont="1" applyBorder="1" applyAlignment="1" applyProtection="1">
      <alignment horizontal="center" vertical="center"/>
      <protection locked="0"/>
    </xf>
    <xf numFmtId="0" fontId="28" fillId="0" borderId="9" xfId="12" applyFont="1" applyBorder="1" applyAlignment="1">
      <alignment horizontal="left" wrapText="1"/>
    </xf>
    <xf numFmtId="166" fontId="28" fillId="0" borderId="9" xfId="12" applyNumberFormat="1" applyFont="1" applyBorder="1"/>
    <xf numFmtId="168" fontId="43" fillId="0" borderId="0" xfId="12" applyNumberFormat="1" applyFont="1"/>
    <xf numFmtId="0" fontId="43" fillId="0" borderId="9" xfId="12" applyFont="1" applyBorder="1"/>
    <xf numFmtId="0" fontId="26" fillId="0" borderId="9" xfId="12" applyFont="1" applyBorder="1" applyAlignment="1">
      <alignment horizontal="left" wrapText="1"/>
    </xf>
    <xf numFmtId="166" fontId="26" fillId="0" borderId="9" xfId="12" applyNumberFormat="1" applyFont="1" applyBorder="1"/>
    <xf numFmtId="0" fontId="26" fillId="0" borderId="9" xfId="12" applyFont="1" applyBorder="1" applyAlignment="1" applyProtection="1">
      <alignment wrapText="1"/>
      <protection locked="0"/>
    </xf>
    <xf numFmtId="0" fontId="26" fillId="0" borderId="12" xfId="12" applyFont="1" applyBorder="1" applyProtection="1">
      <protection locked="0"/>
    </xf>
    <xf numFmtId="0" fontId="28" fillId="0" borderId="4" xfId="12" applyFont="1" applyBorder="1" applyAlignment="1" applyProtection="1">
      <alignment wrapText="1"/>
      <protection locked="0"/>
    </xf>
    <xf numFmtId="166" fontId="28" fillId="0" borderId="4" xfId="12" applyNumberFormat="1" applyFont="1" applyBorder="1" applyProtection="1">
      <protection locked="0"/>
    </xf>
    <xf numFmtId="0" fontId="43" fillId="0" borderId="0" xfId="12" applyFont="1" applyAlignment="1">
      <alignment wrapText="1"/>
    </xf>
    <xf numFmtId="0" fontId="43" fillId="0" borderId="10" xfId="12" applyFont="1" applyBorder="1"/>
    <xf numFmtId="0" fontId="43" fillId="0" borderId="3" xfId="12" applyFont="1" applyBorder="1"/>
    <xf numFmtId="0" fontId="0" fillId="0" borderId="0" xfId="0" applyAlignment="1">
      <alignment horizontal="right"/>
    </xf>
    <xf numFmtId="0" fontId="50" fillId="0" borderId="0" xfId="0" applyFont="1"/>
    <xf numFmtId="0" fontId="31" fillId="6" borderId="16" xfId="0" applyFont="1" applyFill="1" applyBorder="1" applyAlignment="1">
      <alignment horizontal="center" vertical="center" wrapText="1"/>
    </xf>
    <xf numFmtId="0" fontId="31" fillId="6" borderId="1" xfId="0" applyFont="1" applyFill="1" applyBorder="1" applyAlignment="1">
      <alignment horizontal="center" vertical="center" wrapText="1"/>
    </xf>
    <xf numFmtId="0" fontId="32" fillId="0" borderId="8" xfId="0" applyFont="1" applyBorder="1" applyAlignment="1">
      <alignment horizontal="justify" vertical="center" wrapText="1"/>
    </xf>
    <xf numFmtId="0" fontId="31" fillId="8" borderId="11" xfId="0" applyFont="1" applyFill="1" applyBorder="1" applyAlignment="1">
      <alignment vertical="center" wrapText="1"/>
    </xf>
    <xf numFmtId="0" fontId="31" fillId="0" borderId="11" xfId="0" applyFont="1" applyBorder="1" applyAlignment="1">
      <alignment vertical="center" wrapText="1"/>
    </xf>
    <xf numFmtId="0" fontId="32" fillId="0" borderId="5" xfId="0" applyFont="1" applyBorder="1" applyAlignment="1">
      <alignment horizontal="justify" vertical="center" wrapText="1"/>
    </xf>
    <xf numFmtId="0" fontId="30" fillId="0" borderId="4" xfId="0" applyFont="1" applyBorder="1" applyAlignment="1">
      <alignment wrapText="1"/>
    </xf>
    <xf numFmtId="0" fontId="30" fillId="0" borderId="13" xfId="0" applyFont="1" applyBorder="1" applyAlignment="1">
      <alignment wrapText="1"/>
    </xf>
    <xf numFmtId="44" fontId="26" fillId="0" borderId="9" xfId="12" applyNumberFormat="1" applyFont="1" applyBorder="1" applyAlignment="1">
      <alignment horizontal="left" wrapText="1"/>
    </xf>
    <xf numFmtId="44" fontId="43" fillId="0" borderId="0" xfId="12" applyNumberFormat="1" applyFont="1"/>
    <xf numFmtId="0" fontId="4" fillId="5" borderId="7" xfId="0" applyFont="1" applyFill="1" applyBorder="1" applyAlignment="1">
      <alignment horizontal="center" vertical="top" wrapText="1"/>
    </xf>
    <xf numFmtId="0" fontId="2" fillId="0" borderId="15" xfId="0" applyFont="1" applyBorder="1" applyAlignment="1">
      <alignment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7" fillId="0" borderId="14" xfId="0" applyFont="1" applyBorder="1" applyAlignment="1">
      <alignment vertical="center" wrapText="1"/>
    </xf>
    <xf numFmtId="0" fontId="37" fillId="0" borderId="13" xfId="0" applyFont="1" applyBorder="1" applyAlignment="1">
      <alignment horizontal="center" vertical="center" wrapText="1"/>
    </xf>
    <xf numFmtId="166" fontId="37" fillId="0" borderId="13" xfId="0" applyNumberFormat="1" applyFont="1" applyBorder="1" applyAlignment="1">
      <alignment wrapText="1"/>
    </xf>
    <xf numFmtId="166" fontId="37" fillId="0" borderId="14" xfId="0" applyNumberFormat="1" applyFont="1" applyBorder="1" applyAlignment="1">
      <alignment horizontal="right" vertical="center" wrapText="1"/>
    </xf>
    <xf numFmtId="0" fontId="0" fillId="0" borderId="12" xfId="0" applyBorder="1"/>
    <xf numFmtId="0" fontId="0" fillId="14" borderId="0" xfId="0" applyFill="1"/>
    <xf numFmtId="0" fontId="0" fillId="13" borderId="0" xfId="0" applyFill="1"/>
    <xf numFmtId="0" fontId="51" fillId="0" borderId="0" xfId="0" applyFont="1"/>
    <xf numFmtId="4" fontId="24" fillId="0" borderId="0" xfId="0" applyNumberFormat="1" applyFont="1"/>
    <xf numFmtId="0" fontId="36" fillId="9" borderId="13" xfId="0" applyFont="1" applyFill="1" applyBorder="1" applyAlignment="1">
      <alignment horizontal="center" vertical="top" wrapText="1"/>
    </xf>
    <xf numFmtId="0" fontId="36" fillId="9" borderId="14" xfId="0" applyFont="1" applyFill="1" applyBorder="1" applyAlignment="1">
      <alignment horizontal="center" vertical="top" wrapText="1"/>
    </xf>
    <xf numFmtId="0" fontId="36" fillId="9" borderId="9" xfId="0" applyFont="1" applyFill="1" applyBorder="1" applyAlignment="1">
      <alignment horizontal="center" vertical="top" wrapText="1"/>
    </xf>
    <xf numFmtId="0" fontId="36" fillId="9" borderId="15" xfId="0" applyFont="1" applyFill="1" applyBorder="1" applyAlignment="1">
      <alignment horizontal="center" vertical="top" wrapText="1"/>
    </xf>
    <xf numFmtId="0" fontId="36" fillId="0" borderId="1" xfId="0" applyFont="1" applyBorder="1" applyAlignment="1">
      <alignment horizontal="center" vertical="top" wrapText="1"/>
    </xf>
    <xf numFmtId="0" fontId="36" fillId="9" borderId="5" xfId="0" applyFont="1" applyFill="1" applyBorder="1" applyAlignment="1">
      <alignment horizontal="center" vertical="top" wrapText="1"/>
    </xf>
    <xf numFmtId="4" fontId="36" fillId="9" borderId="5" xfId="0" applyNumberFormat="1" applyFont="1" applyFill="1" applyBorder="1" applyAlignment="1">
      <alignment horizontal="center" vertical="top" wrapText="1"/>
    </xf>
    <xf numFmtId="0" fontId="36" fillId="0" borderId="12" xfId="0" applyFont="1" applyBorder="1" applyAlignment="1">
      <alignment horizontal="center" vertical="center" wrapText="1"/>
    </xf>
    <xf numFmtId="0" fontId="36" fillId="0" borderId="4" xfId="0" applyFont="1" applyBorder="1" applyAlignment="1">
      <alignment horizontal="center" vertical="top" wrapText="1"/>
    </xf>
    <xf numFmtId="0" fontId="36" fillId="0" borderId="11" xfId="0" applyFont="1" applyBorder="1" applyAlignment="1">
      <alignment horizontal="justify" vertical="top" wrapText="1"/>
    </xf>
    <xf numFmtId="0" fontId="35" fillId="0" borderId="8" xfId="0" applyFont="1" applyBorder="1" applyAlignment="1">
      <alignment horizontal="center" vertical="top" wrapText="1"/>
    </xf>
    <xf numFmtId="166" fontId="35" fillId="0" borderId="8" xfId="0" applyNumberFormat="1" applyFont="1" applyBorder="1" applyAlignment="1">
      <alignment vertical="top" wrapText="1"/>
    </xf>
    <xf numFmtId="0" fontId="35" fillId="0" borderId="4" xfId="0" applyFont="1" applyBorder="1" applyAlignment="1">
      <alignment vertical="top" wrapText="1"/>
    </xf>
    <xf numFmtId="0" fontId="36" fillId="0" borderId="13" xfId="0" applyFont="1" applyBorder="1" applyAlignment="1">
      <alignment horizontal="center" vertical="top" wrapText="1"/>
    </xf>
    <xf numFmtId="0" fontId="36" fillId="0" borderId="13" xfId="0" applyFont="1" applyBorder="1" applyAlignment="1">
      <alignment horizontal="left" vertical="top" wrapText="1"/>
    </xf>
    <xf numFmtId="0" fontId="35" fillId="0" borderId="13" xfId="0" applyFont="1" applyBorder="1" applyAlignment="1">
      <alignment horizontal="center" vertical="center" wrapText="1"/>
    </xf>
    <xf numFmtId="0" fontId="35" fillId="2" borderId="13" xfId="0" applyFont="1" applyFill="1" applyBorder="1" applyAlignment="1">
      <alignment horizontal="center" vertical="center" wrapText="1"/>
    </xf>
    <xf numFmtId="166" fontId="35" fillId="2" borderId="13" xfId="0" applyNumberFormat="1" applyFont="1" applyFill="1" applyBorder="1" applyAlignment="1">
      <alignment vertical="center" wrapText="1"/>
    </xf>
    <xf numFmtId="0" fontId="35" fillId="0" borderId="13" xfId="0" applyFont="1" applyBorder="1" applyAlignment="1">
      <alignment vertical="center" wrapText="1"/>
    </xf>
    <xf numFmtId="0" fontId="36" fillId="0" borderId="13"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4" xfId="0" applyFont="1" applyBorder="1" applyAlignment="1">
      <alignment vertical="center" wrapText="1"/>
    </xf>
    <xf numFmtId="166" fontId="35" fillId="0" borderId="4" xfId="0" applyNumberFormat="1" applyFont="1" applyBorder="1" applyAlignment="1">
      <alignment vertical="center" wrapText="1"/>
    </xf>
    <xf numFmtId="0" fontId="36" fillId="0" borderId="4" xfId="0" applyFont="1" applyBorder="1" applyAlignment="1">
      <alignment horizontal="center" vertical="center" wrapText="1"/>
    </xf>
    <xf numFmtId="0" fontId="52" fillId="0" borderId="4" xfId="0" applyFont="1" applyBorder="1" applyAlignment="1">
      <alignment horizontal="left" vertical="center" wrapText="1"/>
    </xf>
    <xf numFmtId="0" fontId="35" fillId="2" borderId="4" xfId="0" applyFont="1" applyFill="1" applyBorder="1" applyAlignment="1">
      <alignment horizontal="center" vertical="center" wrapText="1"/>
    </xf>
    <xf numFmtId="0" fontId="35" fillId="15" borderId="4" xfId="0" applyFont="1" applyFill="1" applyBorder="1" applyAlignment="1">
      <alignment horizontal="center" vertical="center" wrapText="1"/>
    </xf>
    <xf numFmtId="166" fontId="35" fillId="5" borderId="4" xfId="0" applyNumberFormat="1" applyFont="1" applyFill="1" applyBorder="1" applyAlignment="1">
      <alignment vertical="center" wrapText="1"/>
    </xf>
    <xf numFmtId="0" fontId="35" fillId="0" borderId="4" xfId="0" applyFont="1" applyBorder="1" applyAlignment="1">
      <alignment horizontal="left" vertical="center" wrapText="1"/>
    </xf>
    <xf numFmtId="0" fontId="35" fillId="0" borderId="0" xfId="0" applyFont="1" applyAlignment="1">
      <alignment horizontal="center" vertical="center"/>
    </xf>
    <xf numFmtId="0" fontId="52" fillId="0" borderId="4" xfId="0" applyFont="1" applyBorder="1" applyAlignment="1">
      <alignment vertical="center" wrapText="1"/>
    </xf>
    <xf numFmtId="166" fontId="35" fillId="2" borderId="4" xfId="0" applyNumberFormat="1" applyFont="1" applyFill="1" applyBorder="1" applyAlignment="1">
      <alignment vertical="center" wrapText="1"/>
    </xf>
    <xf numFmtId="166" fontId="36" fillId="7" borderId="4" xfId="0" applyNumberFormat="1" applyFont="1" applyFill="1" applyBorder="1" applyAlignment="1">
      <alignment vertical="center" wrapText="1"/>
    </xf>
    <xf numFmtId="0" fontId="55" fillId="0" borderId="0" xfId="0" applyFont="1"/>
    <xf numFmtId="0" fontId="36" fillId="7" borderId="2" xfId="0" applyFont="1" applyFill="1" applyBorder="1" applyAlignment="1">
      <alignment vertical="center" wrapText="1"/>
    </xf>
    <xf numFmtId="0" fontId="36" fillId="7" borderId="0" xfId="0" applyFont="1" applyFill="1" applyAlignment="1">
      <alignment vertical="center" wrapText="1"/>
    </xf>
    <xf numFmtId="0" fontId="36" fillId="7" borderId="3" xfId="0" applyFont="1" applyFill="1" applyBorder="1" applyAlignment="1">
      <alignment vertical="center" wrapText="1"/>
    </xf>
    <xf numFmtId="166" fontId="36" fillId="7" borderId="9" xfId="0" applyNumberFormat="1" applyFont="1" applyFill="1" applyBorder="1" applyAlignment="1">
      <alignment vertical="center" wrapText="1"/>
    </xf>
    <xf numFmtId="0" fontId="36" fillId="0" borderId="15" xfId="0" applyFont="1" applyBorder="1" applyAlignment="1">
      <alignment horizontal="center" vertical="top" wrapText="1"/>
    </xf>
    <xf numFmtId="0" fontId="36" fillId="0" borderId="12" xfId="0" applyFont="1" applyBorder="1" applyAlignment="1">
      <alignment horizontal="center" vertical="top" wrapText="1"/>
    </xf>
    <xf numFmtId="0" fontId="35" fillId="0" borderId="8" xfId="0" applyFont="1" applyBorder="1" applyAlignment="1">
      <alignment vertical="top" wrapText="1"/>
    </xf>
    <xf numFmtId="0" fontId="35" fillId="0" borderId="2" xfId="0" applyFont="1" applyBorder="1" applyAlignment="1">
      <alignment horizontal="center" vertical="top" wrapText="1"/>
    </xf>
    <xf numFmtId="0" fontId="35" fillId="0" borderId="9" xfId="0" applyFont="1" applyBorder="1" applyAlignment="1">
      <alignment horizontal="center" vertical="top" wrapText="1"/>
    </xf>
    <xf numFmtId="0" fontId="56" fillId="0" borderId="3" xfId="0" applyFont="1" applyBorder="1" applyAlignment="1">
      <alignment vertical="top" wrapText="1"/>
    </xf>
    <xf numFmtId="0" fontId="35" fillId="0" borderId="0" xfId="0" applyFont="1" applyAlignment="1">
      <alignment horizontal="center" vertical="top" wrapText="1"/>
    </xf>
    <xf numFmtId="0" fontId="35" fillId="5" borderId="9" xfId="0" applyFont="1" applyFill="1" applyBorder="1" applyAlignment="1">
      <alignment horizontal="center" vertical="top" wrapText="1"/>
    </xf>
    <xf numFmtId="0" fontId="35" fillId="5" borderId="0" xfId="0" applyFont="1" applyFill="1" applyAlignment="1">
      <alignment vertical="top" wrapText="1"/>
    </xf>
    <xf numFmtId="0" fontId="35" fillId="0" borderId="9" xfId="0" applyFont="1" applyBorder="1" applyAlignment="1">
      <alignment vertical="top" wrapText="1"/>
    </xf>
    <xf numFmtId="0" fontId="35" fillId="0" borderId="3" xfId="0" applyFont="1" applyBorder="1" applyAlignment="1">
      <alignment vertical="top" wrapText="1"/>
    </xf>
    <xf numFmtId="0" fontId="36" fillId="0" borderId="4" xfId="0" applyFont="1" applyBorder="1" applyAlignment="1">
      <alignment vertical="center" wrapText="1"/>
    </xf>
    <xf numFmtId="0" fontId="35" fillId="2" borderId="4" xfId="0" applyFont="1" applyFill="1" applyBorder="1" applyAlignment="1">
      <alignment vertical="center" wrapText="1"/>
    </xf>
    <xf numFmtId="0" fontId="35" fillId="12" borderId="4" xfId="0" applyFont="1" applyFill="1" applyBorder="1" applyAlignment="1">
      <alignment horizontal="center" vertical="center" wrapText="1"/>
    </xf>
    <xf numFmtId="166" fontId="35" fillId="12" borderId="4" xfId="0" applyNumberFormat="1" applyFont="1" applyFill="1" applyBorder="1" applyAlignment="1">
      <alignment vertical="center" wrapText="1"/>
    </xf>
    <xf numFmtId="166" fontId="36" fillId="7" borderId="4" xfId="0" applyNumberFormat="1" applyFont="1" applyFill="1" applyBorder="1" applyAlignment="1">
      <alignment horizontal="right" vertical="center" wrapText="1"/>
    </xf>
    <xf numFmtId="166" fontId="24" fillId="0" borderId="0" xfId="0" applyNumberFormat="1" applyFont="1"/>
    <xf numFmtId="0" fontId="36" fillId="5" borderId="7" xfId="0" applyFont="1" applyFill="1" applyBorder="1" applyAlignment="1">
      <alignment horizontal="center" vertical="top" wrapText="1"/>
    </xf>
    <xf numFmtId="0" fontId="36" fillId="5" borderId="2" xfId="0" applyFont="1" applyFill="1" applyBorder="1" applyAlignment="1">
      <alignment horizontal="center" vertical="top" wrapText="1"/>
    </xf>
    <xf numFmtId="0" fontId="36" fillId="5" borderId="14" xfId="0" applyFont="1" applyFill="1" applyBorder="1" applyAlignment="1">
      <alignment horizontal="center" vertical="top" wrapText="1"/>
    </xf>
    <xf numFmtId="0" fontId="36" fillId="5" borderId="8" xfId="0" applyFont="1" applyFill="1" applyBorder="1" applyAlignment="1">
      <alignment vertical="top" wrapText="1"/>
    </xf>
    <xf numFmtId="0" fontId="36" fillId="5" borderId="4" xfId="0" applyFont="1" applyFill="1" applyBorder="1" applyAlignment="1">
      <alignment horizontal="center" vertical="top" wrapText="1"/>
    </xf>
    <xf numFmtId="0" fontId="36" fillId="0" borderId="5" xfId="0" applyFont="1" applyBorder="1" applyAlignment="1">
      <alignment horizontal="center" vertical="top" wrapText="1"/>
    </xf>
    <xf numFmtId="0" fontId="36" fillId="5" borderId="5" xfId="0" applyFont="1" applyFill="1" applyBorder="1" applyAlignment="1">
      <alignment vertical="top" wrapText="1"/>
    </xf>
    <xf numFmtId="0" fontId="36" fillId="5" borderId="5" xfId="0" applyFont="1" applyFill="1" applyBorder="1" applyAlignment="1">
      <alignment horizontal="center" vertical="top" wrapText="1"/>
    </xf>
    <xf numFmtId="0" fontId="36" fillId="0" borderId="7" xfId="0" applyFont="1" applyBorder="1" applyAlignment="1">
      <alignment horizontal="center" vertical="center" wrapText="1"/>
    </xf>
    <xf numFmtId="0" fontId="36" fillId="0" borderId="5" xfId="0" applyFont="1" applyBorder="1" applyAlignment="1">
      <alignment vertical="top" wrapText="1"/>
    </xf>
    <xf numFmtId="0" fontId="35" fillId="5" borderId="14" xfId="0" applyFont="1" applyFill="1" applyBorder="1" applyAlignment="1">
      <alignment horizontal="center" vertical="top" wrapText="1"/>
    </xf>
    <xf numFmtId="0" fontId="35" fillId="5" borderId="1" xfId="0" applyFont="1" applyFill="1" applyBorder="1" applyAlignment="1">
      <alignment vertical="top" wrapText="1"/>
    </xf>
    <xf numFmtId="0" fontId="35" fillId="5" borderId="5" xfId="0" applyFont="1" applyFill="1" applyBorder="1" applyAlignment="1">
      <alignment vertical="top" wrapText="1"/>
    </xf>
    <xf numFmtId="0" fontId="35" fillId="5" borderId="14" xfId="0" applyFont="1" applyFill="1" applyBorder="1" applyAlignment="1">
      <alignment vertical="top" wrapText="1"/>
    </xf>
    <xf numFmtId="0" fontId="52" fillId="0" borderId="0" xfId="0" applyFont="1" applyAlignment="1">
      <alignment vertical="top" wrapText="1"/>
    </xf>
    <xf numFmtId="0" fontId="35" fillId="0" borderId="14" xfId="0" applyFont="1" applyBorder="1" applyAlignment="1">
      <alignment vertical="top" wrapText="1"/>
    </xf>
    <xf numFmtId="166" fontId="35" fillId="0" borderId="13" xfId="0" applyNumberFormat="1" applyFont="1" applyBorder="1" applyAlignment="1">
      <alignment vertical="center" wrapText="1"/>
    </xf>
    <xf numFmtId="0" fontId="35" fillId="0" borderId="14" xfId="0" applyFont="1" applyBorder="1" applyAlignment="1">
      <alignment horizontal="center" vertical="center" wrapText="1"/>
    </xf>
    <xf numFmtId="0" fontId="35" fillId="0" borderId="15" xfId="0" applyFont="1" applyBorder="1" applyAlignment="1">
      <alignment vertical="center" wrapText="1"/>
    </xf>
    <xf numFmtId="166" fontId="35" fillId="0" borderId="14" xfId="0" applyNumberFormat="1" applyFont="1" applyBorder="1" applyAlignment="1">
      <alignment vertical="center" wrapText="1"/>
    </xf>
    <xf numFmtId="0" fontId="52" fillId="0" borderId="10" xfId="0" applyFont="1" applyBorder="1" applyAlignment="1">
      <alignment vertical="center" wrapText="1"/>
    </xf>
    <xf numFmtId="0" fontId="35" fillId="5" borderId="13" xfId="0" applyFont="1" applyFill="1" applyBorder="1" applyAlignment="1">
      <alignment vertical="center" wrapText="1"/>
    </xf>
    <xf numFmtId="0" fontId="35" fillId="0" borderId="10" xfId="0" applyFont="1" applyBorder="1" applyAlignment="1">
      <alignment vertical="center" wrapText="1"/>
    </xf>
    <xf numFmtId="0" fontId="35" fillId="0" borderId="0" xfId="0" applyFont="1" applyAlignment="1">
      <alignment vertical="center" wrapText="1"/>
    </xf>
    <xf numFmtId="0" fontId="35" fillId="0" borderId="7" xfId="0" applyFont="1" applyBorder="1" applyAlignment="1">
      <alignment horizontal="center" vertical="center" wrapText="1"/>
    </xf>
    <xf numFmtId="166" fontId="35" fillId="0" borderId="1" xfId="0" applyNumberFormat="1" applyFont="1" applyBorder="1" applyAlignment="1">
      <alignment vertical="center" wrapText="1"/>
    </xf>
    <xf numFmtId="166" fontId="35" fillId="0" borderId="5" xfId="0" applyNumberFormat="1" applyFont="1" applyBorder="1" applyAlignment="1">
      <alignment vertical="center" wrapText="1"/>
    </xf>
    <xf numFmtId="166" fontId="35" fillId="10" borderId="1" xfId="0" applyNumberFormat="1" applyFont="1" applyFill="1" applyBorder="1" applyAlignment="1">
      <alignment vertical="center" wrapText="1"/>
    </xf>
    <xf numFmtId="166" fontId="35" fillId="10" borderId="5" xfId="0" applyNumberFormat="1" applyFont="1" applyFill="1" applyBorder="1" applyAlignment="1">
      <alignment vertical="center" wrapText="1"/>
    </xf>
    <xf numFmtId="0" fontId="35" fillId="0" borderId="9" xfId="0" applyFont="1" applyBorder="1" applyAlignment="1">
      <alignment horizontal="center" vertical="center" wrapText="1"/>
    </xf>
    <xf numFmtId="0" fontId="35" fillId="2" borderId="21" xfId="0" applyFont="1" applyFill="1" applyBorder="1" applyAlignment="1">
      <alignment vertical="center" wrapText="1"/>
    </xf>
    <xf numFmtId="166" fontId="35" fillId="2" borderId="3" xfId="0" applyNumberFormat="1" applyFont="1" applyFill="1" applyBorder="1" applyAlignment="1">
      <alignment vertical="center" wrapText="1"/>
    </xf>
    <xf numFmtId="166" fontId="35" fillId="2" borderId="0" xfId="0" applyNumberFormat="1" applyFont="1" applyFill="1" applyAlignment="1">
      <alignment vertical="center" wrapText="1"/>
    </xf>
    <xf numFmtId="166" fontId="35" fillId="0" borderId="9" xfId="0" applyNumberFormat="1" applyFont="1" applyBorder="1" applyAlignment="1">
      <alignment vertical="center" wrapText="1"/>
    </xf>
    <xf numFmtId="0" fontId="36" fillId="0" borderId="15" xfId="0" applyFont="1" applyBorder="1" applyAlignment="1">
      <alignment horizontal="center" vertical="center" wrapText="1"/>
    </xf>
    <xf numFmtId="0" fontId="35" fillId="0" borderId="5" xfId="0" applyFont="1" applyBorder="1" applyAlignment="1">
      <alignment vertical="center" wrapText="1"/>
    </xf>
    <xf numFmtId="0" fontId="35" fillId="2" borderId="9" xfId="0" applyFont="1" applyFill="1" applyBorder="1" applyAlignment="1">
      <alignment horizontal="center" vertical="center" wrapText="1"/>
    </xf>
    <xf numFmtId="0" fontId="35" fillId="2" borderId="9" xfId="0" applyFont="1" applyFill="1" applyBorder="1" applyAlignment="1">
      <alignment vertical="center" wrapText="1"/>
    </xf>
    <xf numFmtId="0" fontId="35" fillId="0" borderId="15" xfId="0" applyFont="1" applyBorder="1" applyAlignment="1">
      <alignment horizontal="center" vertical="center" wrapText="1"/>
    </xf>
    <xf numFmtId="0" fontId="35" fillId="0" borderId="21" xfId="0" applyFont="1" applyBorder="1" applyAlignment="1">
      <alignment horizontal="center" vertical="center" wrapText="1"/>
    </xf>
    <xf numFmtId="166" fontId="35" fillId="0" borderId="19" xfId="0" applyNumberFormat="1" applyFont="1" applyBorder="1" applyAlignment="1">
      <alignment vertical="center" wrapText="1"/>
    </xf>
    <xf numFmtId="166" fontId="35" fillId="0" borderId="20" xfId="0" applyNumberFormat="1" applyFont="1" applyBorder="1" applyAlignment="1">
      <alignment vertical="center" wrapText="1"/>
    </xf>
    <xf numFmtId="166" fontId="35" fillId="0" borderId="21" xfId="0" applyNumberFormat="1" applyFont="1" applyBorder="1" applyAlignment="1">
      <alignment vertical="center" wrapText="1"/>
    </xf>
    <xf numFmtId="0" fontId="35" fillId="0" borderId="12" xfId="0" applyFont="1" applyBorder="1" applyAlignment="1">
      <alignment vertical="center" wrapText="1"/>
    </xf>
    <xf numFmtId="166" fontId="36" fillId="0" borderId="4" xfId="0" applyNumberFormat="1" applyFont="1" applyBorder="1" applyAlignment="1">
      <alignment vertical="center" wrapText="1"/>
    </xf>
    <xf numFmtId="0" fontId="36" fillId="5" borderId="7" xfId="0" applyFont="1" applyFill="1" applyBorder="1" applyAlignment="1">
      <alignment horizontal="center" vertical="center" wrapText="1"/>
    </xf>
    <xf numFmtId="0" fontId="36" fillId="5" borderId="2" xfId="0" applyFont="1" applyFill="1" applyBorder="1" applyAlignment="1">
      <alignment horizontal="center" vertical="center" wrapText="1"/>
    </xf>
    <xf numFmtId="0" fontId="35" fillId="0" borderId="2" xfId="0" applyFont="1" applyBorder="1" applyAlignment="1">
      <alignment horizontal="center" vertical="center" wrapText="1"/>
    </xf>
    <xf numFmtId="0" fontId="36" fillId="7" borderId="5" xfId="0" applyFont="1" applyFill="1" applyBorder="1" applyAlignment="1">
      <alignment horizontal="right" vertical="center" wrapText="1"/>
    </xf>
    <xf numFmtId="166" fontId="36" fillId="7" borderId="14" xfId="0" applyNumberFormat="1" applyFont="1" applyFill="1" applyBorder="1" applyAlignment="1">
      <alignment vertical="center" wrapText="1"/>
    </xf>
    <xf numFmtId="166" fontId="36" fillId="9" borderId="14" xfId="0" applyNumberFormat="1" applyFont="1" applyFill="1" applyBorder="1" applyAlignment="1">
      <alignment horizontal="center" vertical="top" wrapText="1"/>
    </xf>
    <xf numFmtId="0" fontId="36" fillId="0" borderId="11" xfId="0" applyFont="1" applyBorder="1" applyAlignment="1">
      <alignment horizontal="justify" vertical="center" wrapText="1"/>
    </xf>
    <xf numFmtId="0" fontId="35" fillId="0" borderId="8" xfId="0" applyFont="1" applyBorder="1" applyAlignment="1">
      <alignment horizontal="center" vertical="center" wrapText="1"/>
    </xf>
    <xf numFmtId="4" fontId="35" fillId="0" borderId="8" xfId="0" applyNumberFormat="1" applyFont="1" applyBorder="1" applyAlignment="1">
      <alignment vertical="center" wrapText="1"/>
    </xf>
    <xf numFmtId="0" fontId="35" fillId="0" borderId="13" xfId="0" applyFont="1" applyBorder="1" applyAlignment="1">
      <alignment horizontal="left" vertical="center" wrapText="1"/>
    </xf>
    <xf numFmtId="4" fontId="35" fillId="0" borderId="13" xfId="0" applyNumberFormat="1" applyFont="1" applyBorder="1" applyAlignment="1">
      <alignment vertical="center" wrapText="1"/>
    </xf>
    <xf numFmtId="0" fontId="42" fillId="0" borderId="9" xfId="0" applyFont="1" applyBorder="1" applyAlignment="1">
      <alignment vertical="center" wrapText="1"/>
    </xf>
    <xf numFmtId="0" fontId="37" fillId="0" borderId="9" xfId="0" applyFont="1" applyBorder="1" applyAlignment="1">
      <alignment horizontal="center" vertical="center" wrapText="1"/>
    </xf>
    <xf numFmtId="166" fontId="42" fillId="0" borderId="4" xfId="0" applyNumberFormat="1" applyFont="1" applyBorder="1" applyAlignment="1">
      <alignment horizontal="right" vertical="center" wrapText="1"/>
    </xf>
    <xf numFmtId="166" fontId="37" fillId="13" borderId="4" xfId="0" applyNumberFormat="1" applyFont="1" applyFill="1" applyBorder="1" applyAlignment="1">
      <alignment horizontal="center" vertical="center" wrapText="1"/>
    </xf>
    <xf numFmtId="166" fontId="37" fillId="13" borderId="5" xfId="0" applyNumberFormat="1" applyFont="1" applyFill="1" applyBorder="1" applyAlignment="1">
      <alignment horizontal="center" vertical="center" wrapText="1"/>
    </xf>
    <xf numFmtId="166" fontId="37" fillId="13" borderId="13" xfId="0" applyNumberFormat="1" applyFont="1" applyFill="1" applyBorder="1" applyAlignment="1">
      <alignment horizontal="right" vertical="center" wrapText="1"/>
    </xf>
    <xf numFmtId="0" fontId="37" fillId="5" borderId="23" xfId="0" applyFont="1" applyFill="1" applyBorder="1" applyAlignment="1">
      <alignment horizontal="center" vertical="center" wrapText="1"/>
    </xf>
    <xf numFmtId="0" fontId="37" fillId="5" borderId="5" xfId="0" applyFont="1" applyFill="1" applyBorder="1" applyAlignment="1">
      <alignment horizontal="center" vertical="center" wrapText="1"/>
    </xf>
    <xf numFmtId="0" fontId="37" fillId="0" borderId="13" xfId="0" applyFont="1" applyBorder="1" applyAlignment="1">
      <alignment horizontal="right" vertical="center" wrapText="1"/>
    </xf>
    <xf numFmtId="166" fontId="37" fillId="13" borderId="8" xfId="0" applyNumberFormat="1" applyFont="1" applyFill="1" applyBorder="1" applyAlignment="1">
      <alignment horizontal="center" vertical="center" wrapText="1"/>
    </xf>
    <xf numFmtId="166" fontId="37" fillId="13" borderId="4" xfId="0" applyNumberFormat="1" applyFont="1" applyFill="1" applyBorder="1" applyAlignment="1">
      <alignment horizontal="right" vertical="center" wrapText="1"/>
    </xf>
    <xf numFmtId="166" fontId="37" fillId="0" borderId="4" xfId="0" applyNumberFormat="1" applyFont="1" applyBorder="1" applyAlignment="1">
      <alignment horizontal="right" vertical="center" wrapText="1"/>
    </xf>
    <xf numFmtId="0" fontId="37" fillId="5" borderId="14" xfId="0" applyFont="1" applyFill="1" applyBorder="1" applyAlignment="1">
      <alignment vertical="top" wrapText="1"/>
    </xf>
    <xf numFmtId="0" fontId="37" fillId="5" borderId="1" xfId="0" applyFont="1" applyFill="1" applyBorder="1" applyAlignment="1">
      <alignment vertical="top" wrapText="1"/>
    </xf>
    <xf numFmtId="0" fontId="37" fillId="5" borderId="5" xfId="0" applyFont="1" applyFill="1" applyBorder="1" applyAlignment="1">
      <alignment vertical="top" wrapText="1"/>
    </xf>
    <xf numFmtId="0" fontId="37" fillId="5" borderId="13" xfId="0" applyFont="1" applyFill="1" applyBorder="1" applyAlignment="1">
      <alignment vertical="top" wrapText="1"/>
    </xf>
    <xf numFmtId="166" fontId="37" fillId="0" borderId="16" xfId="0" applyNumberFormat="1" applyFont="1" applyBorder="1" applyAlignment="1">
      <alignment horizontal="right" vertical="center" wrapText="1"/>
    </xf>
    <xf numFmtId="166" fontId="37" fillId="0" borderId="16" xfId="0" applyNumberFormat="1" applyFont="1" applyBorder="1" applyAlignment="1">
      <alignment horizontal="center" vertical="center" wrapText="1"/>
    </xf>
    <xf numFmtId="166" fontId="37" fillId="0" borderId="14" xfId="0" applyNumberFormat="1" applyFont="1" applyBorder="1" applyAlignment="1">
      <alignment horizontal="right" wrapText="1"/>
    </xf>
    <xf numFmtId="166" fontId="37" fillId="0" borderId="15" xfId="0" applyNumberFormat="1" applyFont="1" applyBorder="1" applyAlignment="1">
      <alignment vertical="center" wrapText="1"/>
    </xf>
    <xf numFmtId="0" fontId="37" fillId="5" borderId="1" xfId="0" applyFont="1" applyFill="1" applyBorder="1" applyAlignment="1">
      <alignment vertical="center" wrapText="1"/>
    </xf>
    <xf numFmtId="0" fontId="37" fillId="5" borderId="5" xfId="0" applyFont="1" applyFill="1" applyBorder="1" applyAlignment="1">
      <alignment vertical="center" wrapText="1"/>
    </xf>
    <xf numFmtId="0" fontId="37" fillId="2" borderId="4" xfId="0" applyFont="1" applyFill="1" applyBorder="1" applyAlignment="1">
      <alignment vertical="top" wrapText="1"/>
    </xf>
    <xf numFmtId="44" fontId="59" fillId="0" borderId="9" xfId="12" applyNumberFormat="1" applyFont="1" applyBorder="1" applyAlignment="1">
      <alignment horizontal="left" wrapText="1"/>
    </xf>
    <xf numFmtId="166" fontId="37" fillId="0" borderId="13" xfId="0" applyNumberFormat="1" applyFont="1" applyBorder="1" applyAlignment="1">
      <alignment vertical="center"/>
    </xf>
    <xf numFmtId="0" fontId="4" fillId="9" borderId="13" xfId="0" applyFont="1" applyFill="1" applyBorder="1" applyAlignment="1">
      <alignment horizontal="center" vertical="top" wrapText="1"/>
    </xf>
    <xf numFmtId="0" fontId="4" fillId="9" borderId="14" xfId="0" applyFont="1" applyFill="1" applyBorder="1" applyAlignment="1">
      <alignment horizontal="center" vertical="top" wrapText="1"/>
    </xf>
    <xf numFmtId="0" fontId="4" fillId="9" borderId="9" xfId="0" applyFont="1" applyFill="1" applyBorder="1" applyAlignment="1">
      <alignment horizontal="center" vertical="top" wrapText="1"/>
    </xf>
    <xf numFmtId="0" fontId="4" fillId="0" borderId="15" xfId="0" applyFont="1" applyBorder="1" applyAlignment="1">
      <alignment horizontal="center" vertical="top" wrapText="1"/>
    </xf>
    <xf numFmtId="0" fontId="4" fillId="0" borderId="1" xfId="0" applyFont="1" applyBorder="1" applyAlignment="1">
      <alignment horizontal="center" vertical="top" wrapText="1"/>
    </xf>
    <xf numFmtId="0" fontId="4" fillId="9" borderId="5" xfId="0" applyFont="1" applyFill="1" applyBorder="1" applyAlignment="1">
      <alignment horizontal="center" vertical="top" wrapText="1"/>
    </xf>
    <xf numFmtId="0" fontId="4" fillId="0" borderId="12" xfId="0" applyFont="1" applyBorder="1" applyAlignment="1">
      <alignment horizontal="center" vertical="top" wrapText="1"/>
    </xf>
    <xf numFmtId="0" fontId="4" fillId="0" borderId="4" xfId="0" applyFont="1" applyBorder="1" applyAlignment="1">
      <alignment horizontal="center" vertical="top" wrapText="1"/>
    </xf>
    <xf numFmtId="0" fontId="4" fillId="0" borderId="11" xfId="0" applyFont="1" applyBorder="1" applyAlignment="1">
      <alignment horizontal="justify" vertical="top" wrapText="1"/>
    </xf>
    <xf numFmtId="0" fontId="2" fillId="0" borderId="8" xfId="0" applyFont="1" applyBorder="1" applyAlignment="1">
      <alignment horizontal="center" vertical="top" wrapText="1"/>
    </xf>
    <xf numFmtId="0" fontId="2" fillId="0" borderId="4" xfId="0" applyFont="1" applyBorder="1" applyAlignment="1">
      <alignment horizontal="center" vertical="top" wrapText="1"/>
    </xf>
    <xf numFmtId="0" fontId="2" fillId="0" borderId="8" xfId="0" applyFont="1" applyBorder="1" applyAlignment="1">
      <alignment vertical="top" wrapText="1"/>
    </xf>
    <xf numFmtId="0" fontId="2" fillId="0" borderId="4" xfId="0" applyFont="1" applyBorder="1" applyAlignment="1">
      <alignment vertical="top" wrapText="1"/>
    </xf>
    <xf numFmtId="0" fontId="2" fillId="0" borderId="2" xfId="0" applyFont="1" applyBorder="1" applyAlignment="1">
      <alignment horizontal="center" vertical="top" wrapText="1"/>
    </xf>
    <xf numFmtId="0" fontId="60" fillId="0" borderId="3" xfId="0" applyFont="1" applyBorder="1" applyAlignment="1">
      <alignment vertical="top" wrapText="1"/>
    </xf>
    <xf numFmtId="0" fontId="2" fillId="0" borderId="0" xfId="0" applyFont="1" applyAlignment="1">
      <alignment horizontal="center" vertical="top" wrapText="1"/>
    </xf>
    <xf numFmtId="0" fontId="2" fillId="5" borderId="9" xfId="0" applyFont="1" applyFill="1" applyBorder="1" applyAlignment="1">
      <alignment horizontal="center" vertical="top" wrapText="1"/>
    </xf>
    <xf numFmtId="0" fontId="2" fillId="5" borderId="0" xfId="0" applyFont="1" applyFill="1" applyAlignment="1">
      <alignment vertical="top" wrapText="1"/>
    </xf>
    <xf numFmtId="0" fontId="2" fillId="0" borderId="9" xfId="0" applyFont="1" applyBorder="1" applyAlignment="1">
      <alignment vertical="top" wrapText="1"/>
    </xf>
    <xf numFmtId="0" fontId="2" fillId="0" borderId="3" xfId="0" applyFont="1" applyBorder="1" applyAlignment="1">
      <alignment vertical="top" wrapText="1"/>
    </xf>
    <xf numFmtId="0" fontId="4" fillId="0" borderId="4" xfId="0" applyFont="1" applyBorder="1" applyAlignment="1">
      <alignment horizontal="center" vertical="center" wrapText="1"/>
    </xf>
    <xf numFmtId="0" fontId="4" fillId="0" borderId="4" xfId="0" applyFont="1" applyBorder="1" applyAlignment="1">
      <alignment vertical="center" wrapText="1"/>
    </xf>
    <xf numFmtId="0" fontId="2" fillId="2" borderId="4" xfId="0" applyFont="1" applyFill="1" applyBorder="1" applyAlignment="1">
      <alignment horizontal="center" vertical="center" wrapText="1"/>
    </xf>
    <xf numFmtId="0" fontId="2" fillId="2" borderId="4" xfId="0" applyFont="1" applyFill="1" applyBorder="1" applyAlignment="1">
      <alignment vertical="center" wrapText="1"/>
    </xf>
    <xf numFmtId="0" fontId="2" fillId="0" borderId="4" xfId="0" applyFont="1" applyBorder="1" applyAlignment="1">
      <alignment horizontal="center" vertical="center" wrapText="1"/>
    </xf>
    <xf numFmtId="166" fontId="2" fillId="0" borderId="4" xfId="0" applyNumberFormat="1" applyFont="1" applyBorder="1" applyAlignment="1">
      <alignment vertical="center" wrapText="1"/>
    </xf>
    <xf numFmtId="0" fontId="2" fillId="12" borderId="4" xfId="0" applyFont="1" applyFill="1" applyBorder="1" applyAlignment="1">
      <alignment horizontal="center" vertical="center" wrapText="1"/>
    </xf>
    <xf numFmtId="166" fontId="2" fillId="12" borderId="4" xfId="0" applyNumberFormat="1" applyFont="1" applyFill="1" applyBorder="1" applyAlignment="1">
      <alignment vertical="center" wrapText="1"/>
    </xf>
    <xf numFmtId="0" fontId="4" fillId="9" borderId="15" xfId="0" applyFont="1" applyFill="1" applyBorder="1" applyAlignment="1">
      <alignment horizontal="center" vertical="top" wrapText="1"/>
    </xf>
    <xf numFmtId="4" fontId="4" fillId="9" borderId="5" xfId="0" applyNumberFormat="1" applyFont="1" applyFill="1" applyBorder="1" applyAlignment="1">
      <alignment horizontal="center" vertical="top" wrapText="1"/>
    </xf>
    <xf numFmtId="0" fontId="4" fillId="0" borderId="12" xfId="0" applyFont="1" applyBorder="1" applyAlignment="1">
      <alignment horizontal="center" vertical="center" wrapText="1"/>
    </xf>
    <xf numFmtId="166" fontId="2" fillId="0" borderId="8" xfId="0" applyNumberFormat="1" applyFont="1" applyBorder="1" applyAlignment="1">
      <alignment vertical="top" wrapText="1"/>
    </xf>
    <xf numFmtId="0" fontId="4" fillId="0" borderId="13" xfId="0" applyFont="1" applyBorder="1" applyAlignment="1">
      <alignment horizontal="center" vertical="top" wrapText="1"/>
    </xf>
    <xf numFmtId="0" fontId="4" fillId="0" borderId="13" xfId="0" applyFont="1" applyBorder="1" applyAlignment="1">
      <alignment horizontal="left" vertical="top" wrapText="1"/>
    </xf>
    <xf numFmtId="0" fontId="2" fillId="2" borderId="13" xfId="0" applyFont="1" applyFill="1" applyBorder="1" applyAlignment="1">
      <alignment horizontal="center" vertical="center" wrapText="1"/>
    </xf>
    <xf numFmtId="166" fontId="2" fillId="2" borderId="13" xfId="0" applyNumberFormat="1" applyFont="1" applyFill="1" applyBorder="1" applyAlignment="1">
      <alignment vertical="center" wrapText="1"/>
    </xf>
    <xf numFmtId="0" fontId="2" fillId="0" borderId="13" xfId="0" applyFont="1" applyBorder="1" applyAlignment="1">
      <alignment vertical="center" wrapText="1"/>
    </xf>
    <xf numFmtId="0" fontId="4" fillId="0" borderId="13" xfId="0" applyFont="1" applyBorder="1" applyAlignment="1">
      <alignment horizontal="center" vertical="center" wrapText="1"/>
    </xf>
    <xf numFmtId="0" fontId="5" fillId="0" borderId="4" xfId="0" applyFont="1" applyBorder="1" applyAlignment="1">
      <alignment horizontal="left" vertical="center" wrapText="1"/>
    </xf>
    <xf numFmtId="0" fontId="2" fillId="15" borderId="4" xfId="0" applyFont="1" applyFill="1" applyBorder="1" applyAlignment="1">
      <alignment horizontal="center" vertical="center" wrapText="1"/>
    </xf>
    <xf numFmtId="166" fontId="2" fillId="5" borderId="4" xfId="0" applyNumberFormat="1" applyFont="1" applyFill="1" applyBorder="1" applyAlignment="1">
      <alignment vertical="center" wrapText="1"/>
    </xf>
    <xf numFmtId="0" fontId="2" fillId="0" borderId="4" xfId="0" applyFont="1" applyBorder="1" applyAlignment="1">
      <alignment horizontal="left" vertical="center" wrapText="1"/>
    </xf>
    <xf numFmtId="0" fontId="2" fillId="0" borderId="0" xfId="0" applyFont="1" applyAlignment="1">
      <alignment horizontal="center" vertical="center"/>
    </xf>
    <xf numFmtId="0" fontId="5" fillId="0" borderId="4" xfId="0" applyFont="1" applyBorder="1" applyAlignment="1">
      <alignment vertical="center" wrapText="1"/>
    </xf>
    <xf numFmtId="166" fontId="2" fillId="2" borderId="4" xfId="0" applyNumberFormat="1" applyFont="1" applyFill="1" applyBorder="1" applyAlignment="1">
      <alignment vertical="center" wrapText="1"/>
    </xf>
    <xf numFmtId="166" fontId="4" fillId="9" borderId="14" xfId="0" applyNumberFormat="1" applyFont="1" applyFill="1" applyBorder="1" applyAlignment="1">
      <alignment horizontal="center" vertical="top" wrapText="1"/>
    </xf>
    <xf numFmtId="0" fontId="4" fillId="0" borderId="11" xfId="0" applyFont="1" applyBorder="1" applyAlignment="1">
      <alignment horizontal="justify" vertical="center" wrapText="1"/>
    </xf>
    <xf numFmtId="0" fontId="2" fillId="0" borderId="8" xfId="0" applyFont="1" applyBorder="1" applyAlignment="1">
      <alignment horizontal="center" vertical="center" wrapText="1"/>
    </xf>
    <xf numFmtId="4" fontId="2" fillId="0" borderId="8" xfId="0" applyNumberFormat="1" applyFont="1" applyBorder="1" applyAlignment="1">
      <alignment vertical="center" wrapText="1"/>
    </xf>
    <xf numFmtId="1" fontId="2" fillId="0" borderId="4" xfId="0" applyNumberFormat="1" applyFont="1" applyBorder="1" applyAlignment="1">
      <alignment horizontal="center" vertical="center" wrapText="1"/>
    </xf>
    <xf numFmtId="0" fontId="2" fillId="0" borderId="13" xfId="0" applyFont="1" applyBorder="1" applyAlignment="1">
      <alignment horizontal="left" vertical="center" wrapText="1"/>
    </xf>
    <xf numFmtId="0" fontId="4" fillId="5" borderId="2" xfId="0" applyFont="1" applyFill="1" applyBorder="1" applyAlignment="1">
      <alignment horizontal="center" vertical="top" wrapText="1"/>
    </xf>
    <xf numFmtId="0" fontId="4" fillId="5" borderId="5" xfId="0" applyFont="1" applyFill="1" applyBorder="1" applyAlignment="1">
      <alignment vertical="top" wrapText="1"/>
    </xf>
    <xf numFmtId="0" fontId="4" fillId="5" borderId="5" xfId="0" applyFont="1" applyFill="1" applyBorder="1" applyAlignment="1">
      <alignment horizontal="center" vertical="top" wrapText="1"/>
    </xf>
    <xf numFmtId="0" fontId="4" fillId="0" borderId="7" xfId="0" applyFont="1" applyBorder="1" applyAlignment="1">
      <alignment horizontal="center" vertical="center" wrapText="1"/>
    </xf>
    <xf numFmtId="0" fontId="2" fillId="5" borderId="1" xfId="0" applyFont="1" applyFill="1" applyBorder="1" applyAlignment="1">
      <alignment vertical="top" wrapText="1"/>
    </xf>
    <xf numFmtId="0" fontId="2" fillId="5" borderId="5" xfId="0" applyFont="1" applyFill="1" applyBorder="1" applyAlignment="1">
      <alignment vertical="top" wrapText="1"/>
    </xf>
    <xf numFmtId="0" fontId="2" fillId="5" borderId="14" xfId="0" applyFont="1" applyFill="1" applyBorder="1" applyAlignment="1">
      <alignment vertical="top" wrapText="1"/>
    </xf>
    <xf numFmtId="0" fontId="2" fillId="0" borderId="14" xfId="0" applyFont="1" applyBorder="1" applyAlignment="1">
      <alignment vertical="top" wrapText="1"/>
    </xf>
    <xf numFmtId="0" fontId="5" fillId="0" borderId="10" xfId="0" applyFont="1" applyBorder="1" applyAlignment="1">
      <alignment vertical="center" wrapText="1"/>
    </xf>
    <xf numFmtId="0" fontId="2" fillId="5" borderId="13" xfId="0" applyFont="1" applyFill="1" applyBorder="1" applyAlignment="1">
      <alignment vertical="center" wrapText="1"/>
    </xf>
    <xf numFmtId="0" fontId="2" fillId="0" borderId="10" xfId="0" applyFont="1" applyBorder="1" applyAlignment="1">
      <alignment vertical="center" wrapText="1"/>
    </xf>
    <xf numFmtId="0" fontId="2" fillId="0" borderId="0" xfId="0" applyFont="1" applyAlignment="1">
      <alignment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2" borderId="21" xfId="0" applyFont="1" applyFill="1" applyBorder="1" applyAlignment="1">
      <alignment vertical="center" wrapText="1"/>
    </xf>
    <xf numFmtId="166" fontId="2" fillId="2" borderId="3" xfId="0" applyNumberFormat="1" applyFont="1" applyFill="1" applyBorder="1" applyAlignment="1">
      <alignment vertical="center" wrapText="1"/>
    </xf>
    <xf numFmtId="166" fontId="2" fillId="2" borderId="0" xfId="0" applyNumberFormat="1" applyFont="1" applyFill="1" applyAlignment="1">
      <alignment vertical="center" wrapText="1"/>
    </xf>
    <xf numFmtId="166" fontId="2" fillId="0" borderId="9" xfId="0" applyNumberFormat="1" applyFont="1" applyBorder="1" applyAlignment="1">
      <alignment vertical="center" wrapText="1"/>
    </xf>
    <xf numFmtId="0" fontId="4" fillId="0" borderId="15" xfId="0" applyFont="1" applyBorder="1" applyAlignment="1">
      <alignment horizontal="center" vertical="center" wrapText="1"/>
    </xf>
    <xf numFmtId="0" fontId="2" fillId="0" borderId="5" xfId="0" applyFont="1" applyBorder="1" applyAlignment="1">
      <alignment vertical="center" wrapText="1"/>
    </xf>
    <xf numFmtId="0" fontId="2" fillId="2" borderId="9" xfId="0" applyFont="1" applyFill="1" applyBorder="1" applyAlignment="1">
      <alignment horizontal="center" vertical="center" wrapText="1"/>
    </xf>
    <xf numFmtId="0" fontId="2" fillId="2" borderId="9" xfId="0" applyFont="1" applyFill="1" applyBorder="1" applyAlignment="1">
      <alignment vertical="center" wrapText="1"/>
    </xf>
    <xf numFmtId="0" fontId="2" fillId="0" borderId="15"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12" xfId="0" applyFont="1" applyBorder="1" applyAlignment="1">
      <alignment vertical="center" wrapText="1"/>
    </xf>
    <xf numFmtId="0" fontId="2" fillId="0" borderId="2" xfId="0" applyFont="1" applyBorder="1" applyAlignment="1">
      <alignment horizontal="center" vertical="center" wrapText="1"/>
    </xf>
    <xf numFmtId="0" fontId="4" fillId="7" borderId="5" xfId="0" applyFont="1" applyFill="1" applyBorder="1" applyAlignment="1">
      <alignment horizontal="right" vertical="center" wrapText="1"/>
    </xf>
    <xf numFmtId="0" fontId="37" fillId="8" borderId="14" xfId="0" applyFont="1" applyFill="1" applyBorder="1" applyAlignment="1">
      <alignment horizontal="center" vertical="center" wrapText="1"/>
    </xf>
    <xf numFmtId="166" fontId="37" fillId="8" borderId="14" xfId="0" applyNumberFormat="1" applyFont="1" applyFill="1" applyBorder="1" applyAlignment="1">
      <alignment horizontal="right" vertical="center" wrapText="1"/>
    </xf>
    <xf numFmtId="0" fontId="37" fillId="8" borderId="13" xfId="0" applyFont="1" applyFill="1" applyBorder="1" applyAlignment="1">
      <alignment horizontal="center" vertical="center" wrapText="1"/>
    </xf>
    <xf numFmtId="0" fontId="37" fillId="8" borderId="4" xfId="0" applyFont="1" applyFill="1" applyBorder="1" applyAlignment="1">
      <alignment horizontal="center" vertical="center" wrapText="1"/>
    </xf>
    <xf numFmtId="0" fontId="42" fillId="0" borderId="14" xfId="0" applyFont="1" applyBorder="1" applyAlignment="1">
      <alignment vertical="top" wrapText="1"/>
    </xf>
    <xf numFmtId="0" fontId="42" fillId="0" borderId="9" xfId="0" applyFont="1" applyBorder="1" applyAlignment="1">
      <alignment horizontal="center" vertical="center" wrapText="1"/>
    </xf>
    <xf numFmtId="0" fontId="42" fillId="0" borderId="13" xfId="0" applyFont="1" applyBorder="1" applyAlignment="1">
      <alignment horizontal="center" vertical="center" wrapText="1"/>
    </xf>
    <xf numFmtId="0" fontId="37" fillId="0" borderId="4" xfId="0" applyFont="1" applyBorder="1" applyAlignment="1">
      <alignment wrapText="1"/>
    </xf>
    <xf numFmtId="0" fontId="37" fillId="0" borderId="9" xfId="0" applyFont="1" applyBorder="1" applyAlignment="1">
      <alignment wrapText="1"/>
    </xf>
    <xf numFmtId="0" fontId="42" fillId="0" borderId="4" xfId="0" applyFont="1" applyBorder="1" applyAlignment="1">
      <alignment vertical="center" wrapText="1"/>
    </xf>
    <xf numFmtId="0" fontId="22" fillId="0" borderId="11" xfId="0" applyFont="1" applyBorder="1"/>
    <xf numFmtId="0" fontId="42" fillId="0" borderId="4" xfId="0" applyFont="1" applyBorder="1" applyAlignment="1">
      <alignment horizontal="center" vertical="center" wrapText="1"/>
    </xf>
    <xf numFmtId="0" fontId="42" fillId="9" borderId="13" xfId="0" applyFont="1" applyFill="1" applyBorder="1" applyAlignment="1">
      <alignment horizontal="center" vertical="top" wrapText="1"/>
    </xf>
    <xf numFmtId="0" fontId="42" fillId="9" borderId="9" xfId="0" applyFont="1" applyFill="1" applyBorder="1" applyAlignment="1">
      <alignment horizontal="center" vertical="top" wrapText="1"/>
    </xf>
    <xf numFmtId="0" fontId="42" fillId="0" borderId="4" xfId="0" applyFont="1" applyBorder="1" applyAlignment="1">
      <alignment horizontal="center" vertical="top" wrapText="1"/>
    </xf>
    <xf numFmtId="0" fontId="35" fillId="0" borderId="0" xfId="0" applyFont="1"/>
    <xf numFmtId="4" fontId="35" fillId="0" borderId="0" xfId="0" applyNumberFormat="1" applyFont="1"/>
    <xf numFmtId="0" fontId="26" fillId="0" borderId="0" xfId="0" applyFont="1" applyAlignment="1">
      <alignment horizontal="center" vertical="center"/>
    </xf>
    <xf numFmtId="0" fontId="59" fillId="0" borderId="0" xfId="0" applyFont="1"/>
    <xf numFmtId="0" fontId="42" fillId="5" borderId="14" xfId="0" applyFont="1" applyFill="1" applyBorder="1" applyAlignment="1">
      <alignment horizontal="center" vertical="top" wrapText="1"/>
    </xf>
    <xf numFmtId="1" fontId="37" fillId="0" borderId="4" xfId="0" applyNumberFormat="1" applyFont="1" applyBorder="1" applyAlignment="1">
      <alignment horizontal="center" vertical="center" wrapText="1"/>
    </xf>
    <xf numFmtId="166" fontId="59" fillId="0" borderId="3" xfId="12" applyNumberFormat="1" applyFont="1" applyBorder="1" applyAlignment="1" applyProtection="1">
      <alignment vertical="center"/>
      <protection locked="0"/>
    </xf>
    <xf numFmtId="166" fontId="59" fillId="0" borderId="3" xfId="12" applyNumberFormat="1" applyFont="1" applyBorder="1" applyAlignment="1">
      <alignment vertical="center"/>
    </xf>
    <xf numFmtId="166" fontId="49" fillId="0" borderId="9" xfId="12" applyNumberFormat="1" applyFont="1" applyBorder="1"/>
    <xf numFmtId="166" fontId="59" fillId="0" borderId="9" xfId="12" applyNumberFormat="1" applyFont="1" applyBorder="1"/>
    <xf numFmtId="166" fontId="49" fillId="0" borderId="4" xfId="12" applyNumberFormat="1" applyFont="1" applyBorder="1" applyProtection="1">
      <protection locked="0"/>
    </xf>
    <xf numFmtId="0" fontId="22" fillId="0" borderId="58" xfId="0" applyFont="1" applyBorder="1"/>
    <xf numFmtId="0" fontId="42" fillId="5" borderId="4" xfId="0" applyFont="1" applyFill="1" applyBorder="1" applyAlignment="1">
      <alignment horizontal="center" vertical="center" wrapText="1"/>
    </xf>
    <xf numFmtId="0" fontId="59" fillId="8" borderId="4" xfId="0" applyFont="1" applyFill="1" applyBorder="1" applyAlignment="1">
      <alignment vertical="top" wrapText="1"/>
    </xf>
    <xf numFmtId="166" fontId="64" fillId="7" borderId="4" xfId="0" applyNumberFormat="1" applyFont="1" applyFill="1" applyBorder="1" applyAlignment="1">
      <alignment horizontal="right" vertical="center" wrapText="1"/>
    </xf>
    <xf numFmtId="166" fontId="64" fillId="7" borderId="4" xfId="0" applyNumberFormat="1" applyFont="1" applyFill="1" applyBorder="1" applyAlignment="1">
      <alignment vertical="center" wrapText="1"/>
    </xf>
    <xf numFmtId="166" fontId="65" fillId="3" borderId="4" xfId="0" applyNumberFormat="1" applyFont="1" applyFill="1" applyBorder="1" applyAlignment="1">
      <alignment vertical="center" wrapText="1"/>
    </xf>
    <xf numFmtId="166" fontId="64" fillId="7" borderId="14" xfId="0" applyNumberFormat="1" applyFont="1" applyFill="1" applyBorder="1" applyAlignment="1">
      <alignment vertical="center" wrapText="1"/>
    </xf>
    <xf numFmtId="166" fontId="64" fillId="7" borderId="11" xfId="0" applyNumberFormat="1" applyFont="1" applyFill="1" applyBorder="1" applyAlignment="1">
      <alignment vertical="center" wrapText="1"/>
    </xf>
    <xf numFmtId="166" fontId="64" fillId="6" borderId="4" xfId="0" applyNumberFormat="1" applyFont="1" applyFill="1" applyBorder="1" applyAlignment="1">
      <alignment vertical="center" wrapText="1"/>
    </xf>
    <xf numFmtId="166" fontId="67" fillId="6" borderId="4" xfId="0" applyNumberFormat="1" applyFont="1" applyFill="1" applyBorder="1" applyAlignment="1">
      <alignment vertical="center" wrapText="1"/>
    </xf>
    <xf numFmtId="166" fontId="31" fillId="7" borderId="12" xfId="0" applyNumberFormat="1" applyFont="1" applyFill="1" applyBorder="1" applyAlignment="1">
      <alignment horizontal="left" vertical="center" wrapText="1"/>
    </xf>
    <xf numFmtId="166" fontId="31" fillId="7" borderId="8" xfId="0" applyNumberFormat="1" applyFont="1" applyFill="1" applyBorder="1" applyAlignment="1">
      <alignment horizontal="left" vertical="center" wrapText="1"/>
    </xf>
    <xf numFmtId="166" fontId="31" fillId="7" borderId="11" xfId="0" applyNumberFormat="1" applyFont="1" applyFill="1" applyBorder="1" applyAlignment="1">
      <alignment horizontal="left" vertical="center" wrapText="1"/>
    </xf>
    <xf numFmtId="0" fontId="23" fillId="0" borderId="12" xfId="0" applyFont="1" applyBorder="1" applyAlignment="1">
      <alignment horizontal="left"/>
    </xf>
    <xf numFmtId="0" fontId="23" fillId="0" borderId="8" xfId="0" applyFont="1" applyBorder="1" applyAlignment="1">
      <alignment horizontal="left"/>
    </xf>
    <xf numFmtId="0" fontId="23" fillId="0" borderId="11" xfId="0" applyFont="1" applyBorder="1" applyAlignment="1">
      <alignment horizontal="left"/>
    </xf>
    <xf numFmtId="0" fontId="31" fillId="6" borderId="13" xfId="0" applyFont="1" applyFill="1" applyBorder="1" applyAlignment="1">
      <alignment horizontal="center" vertical="center" wrapText="1"/>
    </xf>
    <xf numFmtId="0" fontId="31" fillId="6" borderId="14" xfId="0" applyFont="1" applyFill="1" applyBorder="1" applyAlignment="1">
      <alignment horizontal="center" vertical="center" wrapText="1"/>
    </xf>
    <xf numFmtId="0" fontId="30" fillId="5" borderId="13" xfId="0" applyFont="1" applyFill="1" applyBorder="1" applyAlignment="1">
      <alignment horizontal="center" vertical="center" wrapText="1"/>
    </xf>
    <xf numFmtId="0" fontId="30" fillId="5" borderId="14" xfId="0" applyFont="1" applyFill="1" applyBorder="1" applyAlignment="1">
      <alignment horizontal="center" vertical="center" wrapText="1"/>
    </xf>
    <xf numFmtId="0" fontId="31" fillId="6" borderId="7" xfId="0" applyFont="1" applyFill="1" applyBorder="1" applyAlignment="1">
      <alignment horizontal="center" vertical="center" wrapText="1"/>
    </xf>
    <xf numFmtId="0" fontId="31" fillId="6" borderId="15" xfId="0" applyFont="1" applyFill="1" applyBorder="1" applyAlignment="1">
      <alignment horizontal="center" vertical="center" wrapText="1"/>
    </xf>
    <xf numFmtId="0" fontId="31" fillId="6" borderId="12" xfId="0" applyFont="1" applyFill="1" applyBorder="1" applyAlignment="1">
      <alignment horizontal="center" vertical="center" wrapText="1"/>
    </xf>
    <xf numFmtId="0" fontId="31" fillId="6" borderId="11" xfId="0" applyFont="1" applyFill="1" applyBorder="1" applyAlignment="1">
      <alignment horizontal="center" vertical="center" wrapText="1"/>
    </xf>
    <xf numFmtId="0" fontId="31" fillId="5" borderId="13" xfId="0" applyFont="1" applyFill="1" applyBorder="1" applyAlignment="1">
      <alignment horizontal="center" vertical="center" wrapText="1"/>
    </xf>
    <xf numFmtId="0" fontId="31" fillId="5" borderId="14" xfId="0" applyFont="1" applyFill="1" applyBorder="1" applyAlignment="1">
      <alignment horizontal="center" vertical="center" wrapText="1"/>
    </xf>
    <xf numFmtId="0" fontId="30" fillId="5" borderId="13" xfId="0" applyFont="1" applyFill="1" applyBorder="1" applyAlignment="1">
      <alignment vertical="center" wrapText="1"/>
    </xf>
    <xf numFmtId="0" fontId="30" fillId="5" borderId="14" xfId="0" applyFont="1" applyFill="1" applyBorder="1" applyAlignment="1">
      <alignment vertical="center" wrapText="1"/>
    </xf>
    <xf numFmtId="0" fontId="31" fillId="5" borderId="12" xfId="0" applyFont="1" applyFill="1" applyBorder="1" applyAlignment="1">
      <alignment horizontal="center" vertical="center" wrapText="1"/>
    </xf>
    <xf numFmtId="0" fontId="31" fillId="5" borderId="11" xfId="0" applyFont="1" applyFill="1" applyBorder="1" applyAlignment="1">
      <alignment horizontal="center" vertical="center" wrapText="1"/>
    </xf>
    <xf numFmtId="0" fontId="31" fillId="0" borderId="13" xfId="0" applyFont="1" applyBorder="1" applyAlignment="1">
      <alignment horizontal="center" vertical="center" wrapText="1"/>
    </xf>
    <xf numFmtId="0" fontId="31" fillId="0" borderId="14" xfId="0" applyFont="1" applyBorder="1" applyAlignment="1">
      <alignment horizontal="center" vertical="center" wrapText="1"/>
    </xf>
    <xf numFmtId="0" fontId="31" fillId="0" borderId="7" xfId="0" applyFont="1" applyBorder="1" applyAlignment="1">
      <alignment horizontal="justify" vertical="center" wrapText="1"/>
    </xf>
    <xf numFmtId="0" fontId="31" fillId="0" borderId="15" xfId="0" applyFont="1" applyBorder="1" applyAlignment="1">
      <alignment horizontal="justify" vertical="center" wrapText="1"/>
    </xf>
    <xf numFmtId="0" fontId="31" fillId="5" borderId="7" xfId="0" applyFont="1" applyFill="1" applyBorder="1" applyAlignment="1">
      <alignment horizontal="center" vertical="center" wrapText="1"/>
    </xf>
    <xf numFmtId="0" fontId="31" fillId="5" borderId="15" xfId="0" applyFont="1" applyFill="1" applyBorder="1" applyAlignment="1">
      <alignment horizontal="center" vertical="center" wrapText="1"/>
    </xf>
    <xf numFmtId="0" fontId="7" fillId="0" borderId="7" xfId="11" applyFont="1" applyBorder="1" applyAlignment="1">
      <alignment horizontal="left"/>
    </xf>
    <xf numFmtId="0" fontId="7" fillId="0" borderId="10" xfId="11" applyFont="1" applyBorder="1" applyAlignment="1">
      <alignment horizontal="left"/>
    </xf>
    <xf numFmtId="0" fontId="7" fillId="0" borderId="2" xfId="11" applyFont="1" applyBorder="1" applyAlignment="1">
      <alignment horizontal="left"/>
    </xf>
    <xf numFmtId="0" fontId="7" fillId="0" borderId="0" xfId="11" applyFont="1" applyAlignment="1">
      <alignment horizontal="left"/>
    </xf>
    <xf numFmtId="0" fontId="9" fillId="0" borderId="12" xfId="12" applyFont="1" applyBorder="1" applyAlignment="1" applyProtection="1">
      <alignment horizontal="center" vertical="center"/>
      <protection locked="0"/>
    </xf>
    <xf numFmtId="0" fontId="9" fillId="0" borderId="8" xfId="12" applyFont="1" applyBorder="1" applyAlignment="1" applyProtection="1">
      <alignment horizontal="center" vertical="center"/>
      <protection locked="0"/>
    </xf>
    <xf numFmtId="0" fontId="9" fillId="0" borderId="11" xfId="12" applyFont="1" applyBorder="1" applyAlignment="1" applyProtection="1">
      <alignment horizontal="center" vertical="center"/>
      <protection locked="0"/>
    </xf>
    <xf numFmtId="0" fontId="28" fillId="0" borderId="12" xfId="12" applyFont="1" applyBorder="1" applyAlignment="1" applyProtection="1">
      <alignment horizontal="center" vertical="center"/>
      <protection locked="0"/>
    </xf>
    <xf numFmtId="0" fontId="28" fillId="0" borderId="8" xfId="12" applyFont="1" applyBorder="1" applyAlignment="1" applyProtection="1">
      <alignment horizontal="center" vertical="center"/>
      <protection locked="0"/>
    </xf>
    <xf numFmtId="0" fontId="28" fillId="0" borderId="11" xfId="12" applyFont="1" applyBorder="1" applyAlignment="1" applyProtection="1">
      <alignment horizontal="center" vertical="center"/>
      <protection locked="0"/>
    </xf>
    <xf numFmtId="0" fontId="23" fillId="0" borderId="4" xfId="0" applyFont="1" applyBorder="1"/>
    <xf numFmtId="0" fontId="0" fillId="0" borderId="4" xfId="0" applyBorder="1"/>
    <xf numFmtId="0" fontId="23" fillId="0" borderId="10" xfId="0" applyFont="1" applyBorder="1"/>
    <xf numFmtId="0" fontId="0" fillId="0" borderId="10" xfId="0" applyBorder="1"/>
    <xf numFmtId="0" fontId="0" fillId="0" borderId="16" xfId="0" applyBorder="1"/>
    <xf numFmtId="169" fontId="13" fillId="4" borderId="0" xfId="10" applyNumberFormat="1" applyFont="1" applyFill="1" applyBorder="1" applyAlignment="1">
      <alignment horizontal="left"/>
    </xf>
    <xf numFmtId="0" fontId="11" fillId="4" borderId="30" xfId="10" applyNumberFormat="1" applyFont="1" applyFill="1" applyBorder="1" applyAlignment="1">
      <alignment horizontal="left"/>
    </xf>
    <xf numFmtId="3" fontId="40" fillId="4" borderId="0" xfId="10" applyNumberFormat="1" applyFont="1" applyFill="1" applyBorder="1" applyAlignment="1">
      <alignment horizontal="left" vertical="top" wrapText="1"/>
    </xf>
    <xf numFmtId="3" fontId="40" fillId="4" borderId="30" xfId="10" applyNumberFormat="1" applyFont="1" applyFill="1" applyBorder="1" applyAlignment="1">
      <alignment horizontal="left" vertical="top" wrapText="1"/>
    </xf>
    <xf numFmtId="49" fontId="11" fillId="4" borderId="0" xfId="10" applyNumberFormat="1" applyFont="1" applyFill="1" applyBorder="1" applyProtection="1">
      <protection locked="0"/>
    </xf>
    <xf numFmtId="0" fontId="11" fillId="4" borderId="0" xfId="10" applyNumberFormat="1" applyFont="1" applyFill="1" applyBorder="1" applyProtection="1">
      <protection locked="0"/>
    </xf>
    <xf numFmtId="0" fontId="11" fillId="4" borderId="37" xfId="10" applyNumberFormat="1" applyFont="1" applyFill="1" applyBorder="1" applyProtection="1">
      <protection locked="0"/>
    </xf>
    <xf numFmtId="49" fontId="11" fillId="4" borderId="0" xfId="10" applyNumberFormat="1" applyFont="1" applyFill="1" applyBorder="1" applyAlignment="1" applyProtection="1">
      <alignment wrapText="1"/>
      <protection locked="0"/>
    </xf>
    <xf numFmtId="0" fontId="11" fillId="4" borderId="0" xfId="10" applyNumberFormat="1" applyFont="1" applyFill="1" applyBorder="1" applyAlignment="1" applyProtection="1">
      <alignment wrapText="1"/>
      <protection locked="0"/>
    </xf>
    <xf numFmtId="49" fontId="16" fillId="4" borderId="0" xfId="10" applyNumberFormat="1" applyFont="1" applyFill="1" applyBorder="1" applyProtection="1">
      <protection locked="0"/>
    </xf>
    <xf numFmtId="0" fontId="16" fillId="4" borderId="0" xfId="10" applyNumberFormat="1" applyFont="1" applyFill="1" applyBorder="1" applyProtection="1">
      <protection locked="0"/>
    </xf>
    <xf numFmtId="0" fontId="8" fillId="0" borderId="2" xfId="0" applyFont="1" applyBorder="1" applyAlignment="1">
      <alignment horizontal="left" wrapText="1" indent="1"/>
    </xf>
    <xf numFmtId="0" fontId="0" fillId="0" borderId="0" xfId="0" applyAlignment="1">
      <alignment horizontal="left" wrapText="1" indent="1"/>
    </xf>
    <xf numFmtId="0" fontId="17" fillId="0" borderId="2" xfId="10" applyNumberFormat="1" applyFont="1" applyBorder="1" applyAlignment="1">
      <alignment horizontal="left"/>
    </xf>
    <xf numFmtId="0" fontId="17" fillId="0" borderId="0" xfId="10" applyNumberFormat="1" applyFont="1" applyBorder="1" applyAlignment="1">
      <alignment horizontal="left"/>
    </xf>
    <xf numFmtId="0" fontId="17" fillId="0" borderId="57" xfId="10" applyNumberFormat="1" applyFont="1" applyBorder="1" applyAlignment="1">
      <alignment horizontal="left"/>
    </xf>
    <xf numFmtId="0" fontId="17" fillId="0" borderId="55" xfId="10" applyNumberFormat="1" applyFont="1" applyBorder="1" applyAlignment="1">
      <alignment horizontal="left"/>
    </xf>
    <xf numFmtId="171" fontId="13" fillId="4" borderId="0" xfId="10" applyNumberFormat="1" applyFont="1" applyFill="1" applyBorder="1" applyAlignment="1" applyProtection="1">
      <alignment horizontal="left"/>
      <protection locked="0"/>
    </xf>
    <xf numFmtId="171" fontId="13" fillId="4" borderId="37" xfId="10" applyNumberFormat="1" applyFont="1" applyFill="1" applyBorder="1" applyAlignment="1" applyProtection="1">
      <alignment horizontal="left"/>
      <protection locked="0"/>
    </xf>
    <xf numFmtId="0" fontId="41" fillId="0" borderId="0" xfId="0" applyFont="1" applyAlignment="1" applyProtection="1">
      <alignment horizontal="left"/>
      <protection locked="0"/>
    </xf>
    <xf numFmtId="0" fontId="0" fillId="0" borderId="0" xfId="0" applyAlignment="1" applyProtection="1">
      <alignment horizontal="left"/>
      <protection locked="0"/>
    </xf>
    <xf numFmtId="166" fontId="31" fillId="0" borderId="12" xfId="0" applyNumberFormat="1" applyFont="1" applyBorder="1" applyAlignment="1">
      <alignment horizontal="left" vertical="center" wrapText="1"/>
    </xf>
    <xf numFmtId="166" fontId="31" fillId="0" borderId="8" xfId="0" applyNumberFormat="1" applyFont="1" applyBorder="1" applyAlignment="1">
      <alignment horizontal="left" vertical="center" wrapText="1"/>
    </xf>
    <xf numFmtId="166" fontId="31" fillId="0" borderId="11" xfId="0" applyNumberFormat="1" applyFont="1" applyBorder="1" applyAlignment="1">
      <alignment horizontal="left" vertical="center" wrapText="1"/>
    </xf>
    <xf numFmtId="0" fontId="30" fillId="5" borderId="13" xfId="0" applyFont="1" applyFill="1" applyBorder="1" applyAlignment="1">
      <alignment horizontal="right" vertical="center" wrapText="1"/>
    </xf>
    <xf numFmtId="0" fontId="30" fillId="5" borderId="14" xfId="0" applyFont="1" applyFill="1" applyBorder="1" applyAlignment="1">
      <alignment horizontal="right" vertical="center" wrapText="1"/>
    </xf>
    <xf numFmtId="0" fontId="31" fillId="0" borderId="7" xfId="0" applyFont="1" applyBorder="1" applyAlignment="1">
      <alignment horizontal="center" vertical="center" wrapText="1"/>
    </xf>
    <xf numFmtId="0" fontId="31" fillId="0" borderId="15" xfId="0" applyFont="1" applyBorder="1" applyAlignment="1">
      <alignment horizontal="center" vertical="center" wrapText="1"/>
    </xf>
    <xf numFmtId="0" fontId="31" fillId="7" borderId="12" xfId="0" applyFont="1" applyFill="1" applyBorder="1" applyAlignment="1">
      <alignment horizontal="left" vertical="center" wrapText="1"/>
    </xf>
    <xf numFmtId="0" fontId="31" fillId="7" borderId="8" xfId="0" applyFont="1" applyFill="1" applyBorder="1" applyAlignment="1">
      <alignment horizontal="left" vertical="center" wrapText="1"/>
    </xf>
    <xf numFmtId="0" fontId="4" fillId="9" borderId="13" xfId="0" applyFont="1" applyFill="1" applyBorder="1" applyAlignment="1">
      <alignment horizontal="center" vertical="top" wrapText="1"/>
    </xf>
    <xf numFmtId="0" fontId="4" fillId="9" borderId="14" xfId="0" applyFont="1" applyFill="1" applyBorder="1" applyAlignment="1">
      <alignment horizontal="center" vertical="top" wrapText="1"/>
    </xf>
    <xf numFmtId="0" fontId="4" fillId="7" borderId="12" xfId="0" applyFont="1" applyFill="1" applyBorder="1" applyAlignment="1">
      <alignment horizontal="left" vertical="center" wrapText="1"/>
    </xf>
    <xf numFmtId="0" fontId="4" fillId="7" borderId="8" xfId="0" applyFont="1" applyFill="1" applyBorder="1" applyAlignment="1">
      <alignment horizontal="left" vertical="center" wrapText="1"/>
    </xf>
    <xf numFmtId="0" fontId="4" fillId="7" borderId="11" xfId="0" applyFont="1" applyFill="1" applyBorder="1" applyAlignment="1">
      <alignment horizontal="left" vertical="center" wrapText="1"/>
    </xf>
    <xf numFmtId="4" fontId="4" fillId="9" borderId="13" xfId="0" applyNumberFormat="1" applyFont="1" applyFill="1" applyBorder="1" applyAlignment="1">
      <alignment horizontal="center" vertical="top" wrapText="1"/>
    </xf>
    <xf numFmtId="4" fontId="4" fillId="9" borderId="14" xfId="0" applyNumberFormat="1" applyFont="1" applyFill="1" applyBorder="1" applyAlignment="1">
      <alignment horizontal="center" vertical="top" wrapText="1"/>
    </xf>
    <xf numFmtId="0" fontId="4" fillId="7" borderId="12" xfId="0" applyFont="1" applyFill="1" applyBorder="1" applyAlignment="1">
      <alignment vertical="center" wrapText="1"/>
    </xf>
    <xf numFmtId="0" fontId="4" fillId="7" borderId="8" xfId="0" applyFont="1" applyFill="1" applyBorder="1" applyAlignment="1">
      <alignment vertical="center" wrapText="1"/>
    </xf>
    <xf numFmtId="0" fontId="4" fillId="7" borderId="11" xfId="0" applyFont="1" applyFill="1" applyBorder="1" applyAlignment="1">
      <alignment vertical="center" wrapText="1"/>
    </xf>
    <xf numFmtId="0" fontId="36" fillId="9" borderId="13" xfId="0" applyFont="1" applyFill="1" applyBorder="1" applyAlignment="1">
      <alignment horizontal="center" vertical="top" wrapText="1"/>
    </xf>
    <xf numFmtId="0" fontId="36" fillId="9" borderId="14" xfId="0" applyFont="1" applyFill="1" applyBorder="1" applyAlignment="1">
      <alignment horizontal="center" vertical="top" wrapText="1"/>
    </xf>
    <xf numFmtId="0" fontId="36" fillId="7" borderId="12" xfId="0" applyFont="1" applyFill="1" applyBorder="1" applyAlignment="1">
      <alignment vertical="center" wrapText="1"/>
    </xf>
    <xf numFmtId="0" fontId="36" fillId="7" borderId="8" xfId="0" applyFont="1" applyFill="1" applyBorder="1" applyAlignment="1">
      <alignment vertical="center" wrapText="1"/>
    </xf>
    <xf numFmtId="0" fontId="36" fillId="7" borderId="11" xfId="0" applyFont="1" applyFill="1" applyBorder="1" applyAlignment="1">
      <alignment vertical="center" wrapText="1"/>
    </xf>
    <xf numFmtId="0" fontId="36" fillId="7" borderId="12" xfId="0" applyFont="1" applyFill="1" applyBorder="1" applyAlignment="1">
      <alignment horizontal="left" vertical="center" wrapText="1"/>
    </xf>
    <xf numFmtId="0" fontId="36" fillId="7" borderId="8" xfId="0" applyFont="1" applyFill="1" applyBorder="1" applyAlignment="1">
      <alignment horizontal="left" vertical="center" wrapText="1"/>
    </xf>
    <xf numFmtId="0" fontId="36" fillId="7" borderId="11" xfId="0" applyFont="1" applyFill="1" applyBorder="1" applyAlignment="1">
      <alignment horizontal="left" vertical="center" wrapText="1"/>
    </xf>
    <xf numFmtId="166" fontId="35" fillId="0" borderId="4" xfId="0" applyNumberFormat="1" applyFont="1" applyBorder="1" applyAlignment="1">
      <alignment vertical="center" wrapText="1"/>
    </xf>
    <xf numFmtId="0" fontId="35" fillId="0" borderId="4" xfId="0" applyFont="1" applyBorder="1" applyAlignment="1">
      <alignment horizontal="center" vertical="center" wrapText="1"/>
    </xf>
    <xf numFmtId="0" fontId="35" fillId="0" borderId="4" xfId="0" applyFont="1" applyBorder="1" applyAlignment="1">
      <alignment horizontal="left" vertical="center" wrapText="1"/>
    </xf>
    <xf numFmtId="4" fontId="36" fillId="9" borderId="13" xfId="0" applyNumberFormat="1" applyFont="1" applyFill="1" applyBorder="1" applyAlignment="1">
      <alignment horizontal="center" vertical="top" wrapText="1"/>
    </xf>
    <xf numFmtId="4" fontId="36" fillId="9" borderId="14" xfId="0" applyNumberFormat="1" applyFont="1" applyFill="1" applyBorder="1" applyAlignment="1">
      <alignment horizontal="center" vertical="top" wrapText="1"/>
    </xf>
    <xf numFmtId="166" fontId="4" fillId="9" borderId="13" xfId="0" applyNumberFormat="1" applyFont="1" applyFill="1" applyBorder="1" applyAlignment="1">
      <alignment horizontal="center" vertical="top" wrapText="1"/>
    </xf>
    <xf numFmtId="166" fontId="4" fillId="9" borderId="14" xfId="0" applyNumberFormat="1" applyFont="1" applyFill="1" applyBorder="1" applyAlignment="1">
      <alignment horizontal="center" vertical="top" wrapText="1"/>
    </xf>
    <xf numFmtId="166" fontId="2" fillId="0" borderId="4" xfId="0" applyNumberFormat="1" applyFont="1" applyBorder="1" applyAlignment="1">
      <alignment vertical="center" wrapText="1"/>
    </xf>
    <xf numFmtId="0" fontId="4" fillId="0" borderId="4" xfId="0" applyFont="1" applyBorder="1" applyAlignment="1">
      <alignment horizontal="center" wrapText="1"/>
    </xf>
    <xf numFmtId="0" fontId="37" fillId="0" borderId="13" xfId="0" applyFont="1" applyBorder="1" applyAlignment="1">
      <alignment horizontal="center" vertical="center" wrapText="1"/>
    </xf>
    <xf numFmtId="0" fontId="37" fillId="0" borderId="14" xfId="0" applyFont="1" applyBorder="1" applyAlignment="1">
      <alignment horizontal="center" vertical="center" wrapText="1"/>
    </xf>
    <xf numFmtId="0" fontId="4" fillId="0" borderId="4" xfId="0" applyFont="1" applyBorder="1" applyAlignment="1">
      <alignment vertical="center" wrapText="1"/>
    </xf>
    <xf numFmtId="0" fontId="2" fillId="2" borderId="4" xfId="0" applyFont="1" applyFill="1" applyBorder="1" applyAlignment="1">
      <alignment horizontal="center" vertical="center" wrapText="1"/>
    </xf>
    <xf numFmtId="4" fontId="2" fillId="2" borderId="4" xfId="0" applyNumberFormat="1" applyFont="1" applyFill="1" applyBorder="1" applyAlignment="1">
      <alignment vertical="center" wrapText="1"/>
    </xf>
    <xf numFmtId="166" fontId="36" fillId="9" borderId="13" xfId="0" applyNumberFormat="1" applyFont="1" applyFill="1" applyBorder="1" applyAlignment="1">
      <alignment horizontal="center" vertical="top" wrapText="1"/>
    </xf>
    <xf numFmtId="166" fontId="36" fillId="9" borderId="14" xfId="0" applyNumberFormat="1" applyFont="1" applyFill="1" applyBorder="1" applyAlignment="1">
      <alignment horizontal="center" vertical="top" wrapText="1"/>
    </xf>
    <xf numFmtId="0" fontId="36" fillId="0" borderId="4" xfId="0" applyFont="1" applyBorder="1" applyAlignment="1">
      <alignment horizontal="center" wrapText="1"/>
    </xf>
    <xf numFmtId="0" fontId="36" fillId="0" borderId="4" xfId="0" applyFont="1" applyBorder="1" applyAlignment="1">
      <alignment vertical="center" wrapText="1"/>
    </xf>
    <xf numFmtId="0" fontId="35" fillId="2" borderId="4" xfId="0" applyFont="1" applyFill="1" applyBorder="1" applyAlignment="1">
      <alignment horizontal="center" vertical="center" wrapText="1"/>
    </xf>
    <xf numFmtId="4" fontId="35" fillId="2" borderId="4" xfId="0" applyNumberFormat="1" applyFont="1" applyFill="1" applyBorder="1" applyAlignment="1">
      <alignment vertical="center" wrapText="1"/>
    </xf>
    <xf numFmtId="0" fontId="35" fillId="0" borderId="13" xfId="0" applyFont="1" applyBorder="1" applyAlignment="1">
      <alignment horizontal="center" vertical="center" wrapText="1"/>
    </xf>
    <xf numFmtId="0" fontId="35" fillId="0" borderId="14" xfId="0" applyFont="1" applyBorder="1" applyAlignment="1">
      <alignment horizontal="center" vertical="center" wrapText="1"/>
    </xf>
    <xf numFmtId="166" fontId="37" fillId="0" borderId="12" xfId="0" applyNumberFormat="1" applyFont="1" applyBorder="1" applyAlignment="1">
      <alignment horizontal="center" vertical="center" wrapText="1"/>
    </xf>
    <xf numFmtId="166" fontId="37" fillId="0" borderId="8" xfId="0" applyNumberFormat="1" applyFont="1" applyBorder="1" applyAlignment="1">
      <alignment horizontal="center" vertical="center" wrapText="1"/>
    </xf>
    <xf numFmtId="166" fontId="37" fillId="0" borderId="7" xfId="0" applyNumberFormat="1" applyFont="1" applyBorder="1" applyAlignment="1">
      <alignment horizontal="center" vertical="center" wrapText="1"/>
    </xf>
    <xf numFmtId="166" fontId="37" fillId="0" borderId="10" xfId="0" applyNumberFormat="1" applyFont="1" applyBorder="1" applyAlignment="1">
      <alignment horizontal="center" vertical="center" wrapText="1"/>
    </xf>
    <xf numFmtId="0" fontId="31" fillId="7" borderId="12" xfId="0" applyFont="1" applyFill="1" applyBorder="1" applyAlignment="1">
      <alignment vertical="center" wrapText="1"/>
    </xf>
    <xf numFmtId="0" fontId="31" fillId="7" borderId="8" xfId="0" applyFont="1" applyFill="1" applyBorder="1" applyAlignment="1">
      <alignment vertical="center" wrapText="1"/>
    </xf>
    <xf numFmtId="0" fontId="30" fillId="5" borderId="13" xfId="0" applyFont="1" applyFill="1" applyBorder="1" applyAlignment="1">
      <alignment vertical="top" wrapText="1"/>
    </xf>
    <xf numFmtId="0" fontId="30" fillId="5" borderId="9" xfId="0" applyFont="1" applyFill="1" applyBorder="1" applyAlignment="1">
      <alignment vertical="top" wrapText="1"/>
    </xf>
    <xf numFmtId="0" fontId="30" fillId="0" borderId="13" xfId="0" applyFont="1" applyBorder="1" applyAlignment="1">
      <alignment vertical="top" wrapText="1"/>
    </xf>
    <xf numFmtId="0" fontId="30" fillId="0" borderId="9" xfId="0" applyFont="1" applyBorder="1" applyAlignment="1">
      <alignment vertical="top" wrapText="1"/>
    </xf>
    <xf numFmtId="0" fontId="30" fillId="5" borderId="12" xfId="0" applyFont="1" applyFill="1" applyBorder="1" applyAlignment="1">
      <alignment horizontal="center" vertical="top" wrapText="1"/>
    </xf>
    <xf numFmtId="0" fontId="30" fillId="5" borderId="11" xfId="0" applyFont="1" applyFill="1" applyBorder="1" applyAlignment="1">
      <alignment horizontal="center" vertical="top" wrapText="1"/>
    </xf>
    <xf numFmtId="0" fontId="30" fillId="0" borderId="13" xfId="0" applyFont="1" applyBorder="1" applyAlignment="1">
      <alignment horizontal="center" vertical="top" wrapText="1"/>
    </xf>
    <xf numFmtId="0" fontId="30" fillId="0" borderId="9" xfId="0" applyFont="1" applyBorder="1" applyAlignment="1">
      <alignment horizontal="center" vertical="top" wrapText="1"/>
    </xf>
    <xf numFmtId="0" fontId="37" fillId="0" borderId="13" xfId="0" applyFont="1" applyBorder="1" applyAlignment="1">
      <alignment horizontal="center" vertical="top" wrapText="1"/>
    </xf>
    <xf numFmtId="0" fontId="37" fillId="0" borderId="9" xfId="0" applyFont="1" applyBorder="1" applyAlignment="1">
      <alignment horizontal="center" vertical="top" wrapText="1"/>
    </xf>
    <xf numFmtId="0" fontId="30" fillId="5" borderId="7" xfId="0" applyFont="1" applyFill="1" applyBorder="1" applyAlignment="1">
      <alignment horizontal="center" vertical="top" wrapText="1"/>
    </xf>
    <xf numFmtId="0" fontId="30" fillId="5" borderId="16" xfId="0" applyFont="1" applyFill="1" applyBorder="1" applyAlignment="1">
      <alignment horizontal="center" vertical="top" wrapText="1"/>
    </xf>
    <xf numFmtId="0" fontId="30" fillId="5" borderId="2" xfId="0" applyFont="1" applyFill="1" applyBorder="1" applyAlignment="1">
      <alignment horizontal="center" vertical="top" wrapText="1"/>
    </xf>
    <xf numFmtId="0" fontId="30" fillId="5" borderId="3" xfId="0" applyFont="1" applyFill="1" applyBorder="1" applyAlignment="1">
      <alignment horizontal="center" vertical="top" wrapText="1"/>
    </xf>
    <xf numFmtId="0" fontId="42" fillId="5" borderId="13" xfId="0" applyFont="1" applyFill="1" applyBorder="1" applyAlignment="1">
      <alignment horizontal="center" vertical="top" wrapText="1"/>
    </xf>
    <xf numFmtId="0" fontId="42" fillId="5" borderId="9" xfId="0" applyFont="1" applyFill="1" applyBorder="1" applyAlignment="1">
      <alignment horizontal="center" vertical="top" wrapText="1"/>
    </xf>
    <xf numFmtId="0" fontId="31" fillId="5" borderId="7" xfId="0" applyFont="1" applyFill="1" applyBorder="1" applyAlignment="1">
      <alignment horizontal="center" vertical="top" wrapText="1"/>
    </xf>
    <xf numFmtId="0" fontId="31" fillId="5" borderId="15" xfId="0" applyFont="1" applyFill="1" applyBorder="1" applyAlignment="1">
      <alignment horizontal="center" vertical="top" wrapText="1"/>
    </xf>
    <xf numFmtId="0" fontId="31" fillId="5" borderId="13" xfId="0" applyFont="1" applyFill="1" applyBorder="1" applyAlignment="1">
      <alignment horizontal="center" vertical="top" wrapText="1"/>
    </xf>
    <xf numFmtId="0" fontId="31" fillId="5" borderId="14" xfId="0" applyFont="1" applyFill="1" applyBorder="1" applyAlignment="1">
      <alignment horizontal="center" vertical="top" wrapText="1"/>
    </xf>
    <xf numFmtId="0" fontId="31" fillId="5" borderId="12" xfId="0" applyFont="1" applyFill="1" applyBorder="1" applyAlignment="1">
      <alignment horizontal="center" vertical="top" wrapText="1"/>
    </xf>
    <xf numFmtId="0" fontId="31" fillId="5" borderId="8" xfId="0" applyFont="1" applyFill="1" applyBorder="1" applyAlignment="1">
      <alignment horizontal="center" vertical="top" wrapText="1"/>
    </xf>
    <xf numFmtId="0" fontId="31" fillId="5" borderId="11" xfId="0" applyFont="1" applyFill="1" applyBorder="1" applyAlignment="1">
      <alignment horizontal="center" vertical="top" wrapText="1"/>
    </xf>
    <xf numFmtId="0" fontId="31" fillId="6" borderId="12" xfId="0" applyFont="1" applyFill="1" applyBorder="1" applyAlignment="1">
      <alignment vertical="top" wrapText="1"/>
    </xf>
    <xf numFmtId="0" fontId="31" fillId="6" borderId="11" xfId="0" applyFont="1" applyFill="1" applyBorder="1" applyAlignment="1">
      <alignment vertical="top" wrapText="1"/>
    </xf>
    <xf numFmtId="0" fontId="31" fillId="5" borderId="9" xfId="0" applyFont="1" applyFill="1" applyBorder="1" applyAlignment="1">
      <alignment horizontal="center" vertical="top" wrapText="1"/>
    </xf>
    <xf numFmtId="0" fontId="4" fillId="5" borderId="13" xfId="0" applyFont="1" applyFill="1" applyBorder="1" applyAlignment="1">
      <alignment horizontal="center" vertical="top" wrapText="1"/>
    </xf>
    <xf numFmtId="0" fontId="4" fillId="5" borderId="14" xfId="0" applyFont="1" applyFill="1" applyBorder="1" applyAlignment="1">
      <alignment horizontal="center" vertical="top" wrapText="1"/>
    </xf>
    <xf numFmtId="0" fontId="4" fillId="5" borderId="7" xfId="0" applyFont="1" applyFill="1" applyBorder="1" applyAlignment="1">
      <alignment horizontal="center" vertical="top" wrapText="1"/>
    </xf>
    <xf numFmtId="0" fontId="4" fillId="5" borderId="15" xfId="0" applyFont="1" applyFill="1" applyBorder="1" applyAlignment="1">
      <alignment horizontal="center" vertical="top" wrapText="1"/>
    </xf>
    <xf numFmtId="0" fontId="4" fillId="5" borderId="12" xfId="0" applyFont="1" applyFill="1" applyBorder="1" applyAlignment="1">
      <alignment horizontal="center" vertical="top" wrapText="1"/>
    </xf>
    <xf numFmtId="0" fontId="4" fillId="5" borderId="11" xfId="0" applyFont="1" applyFill="1" applyBorder="1" applyAlignment="1">
      <alignment horizontal="center" vertical="top" wrapText="1"/>
    </xf>
    <xf numFmtId="166" fontId="37" fillId="0" borderId="13" xfId="0" applyNumberFormat="1" applyFont="1" applyBorder="1" applyAlignment="1">
      <alignment vertical="center" wrapText="1"/>
    </xf>
    <xf numFmtId="166" fontId="37" fillId="0" borderId="14" xfId="0" applyNumberFormat="1" applyFont="1" applyBorder="1" applyAlignment="1">
      <alignment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37" fillId="0" borderId="14" xfId="0" applyFont="1" applyBorder="1" applyAlignment="1">
      <alignment horizontal="center" vertical="top" wrapText="1"/>
    </xf>
    <xf numFmtId="0" fontId="2" fillId="5" borderId="13" xfId="0" applyFont="1" applyFill="1" applyBorder="1" applyAlignment="1">
      <alignment vertical="center" wrapText="1"/>
    </xf>
    <xf numFmtId="0" fontId="2" fillId="5" borderId="14" xfId="0" applyFont="1" applyFill="1" applyBorder="1" applyAlignment="1">
      <alignment vertical="center" wrapText="1"/>
    </xf>
    <xf numFmtId="0" fontId="2" fillId="0" borderId="13" xfId="0" applyFont="1" applyBorder="1" applyAlignment="1">
      <alignment vertical="center" wrapText="1"/>
    </xf>
    <xf numFmtId="0" fontId="2" fillId="0" borderId="14" xfId="0" applyFont="1" applyBorder="1" applyAlignment="1">
      <alignment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7" xfId="0" applyFont="1" applyBorder="1" applyAlignment="1">
      <alignment vertical="center" wrapText="1"/>
    </xf>
    <xf numFmtId="0" fontId="2" fillId="0" borderId="15" xfId="0" applyFont="1" applyBorder="1" applyAlignment="1">
      <alignment vertical="center" wrapText="1"/>
    </xf>
    <xf numFmtId="166" fontId="4" fillId="0" borderId="12" xfId="0" applyNumberFormat="1" applyFont="1" applyBorder="1" applyAlignment="1">
      <alignment horizontal="left" vertical="center" wrapText="1"/>
    </xf>
    <xf numFmtId="166" fontId="4" fillId="0" borderId="8" xfId="0" applyNumberFormat="1" applyFont="1" applyBorder="1" applyAlignment="1">
      <alignment horizontal="left" vertical="center" wrapText="1"/>
    </xf>
    <xf numFmtId="166" fontId="4" fillId="0" borderId="11" xfId="0" applyNumberFormat="1" applyFont="1" applyBorder="1" applyAlignment="1">
      <alignment horizontal="left" vertical="center" wrapText="1"/>
    </xf>
    <xf numFmtId="0" fontId="5" fillId="0" borderId="7" xfId="0" applyFont="1" applyBorder="1" applyAlignment="1">
      <alignment vertical="center" wrapText="1"/>
    </xf>
    <xf numFmtId="0" fontId="5" fillId="0" borderId="15" xfId="0" applyFont="1" applyBorder="1" applyAlignment="1">
      <alignment vertical="center" wrapText="1"/>
    </xf>
    <xf numFmtId="0" fontId="36" fillId="5" borderId="13" xfId="0" applyFont="1" applyFill="1" applyBorder="1" applyAlignment="1">
      <alignment horizontal="center" vertical="top" wrapText="1"/>
    </xf>
    <xf numFmtId="0" fontId="36" fillId="5" borderId="14" xfId="0" applyFont="1" applyFill="1" applyBorder="1" applyAlignment="1">
      <alignment horizontal="center" vertical="top" wrapText="1"/>
    </xf>
    <xf numFmtId="0" fontId="36" fillId="5" borderId="12" xfId="0" applyFont="1" applyFill="1" applyBorder="1" applyAlignment="1">
      <alignment horizontal="center" vertical="top" wrapText="1"/>
    </xf>
    <xf numFmtId="0" fontId="36" fillId="5" borderId="11" xfId="0" applyFont="1" applyFill="1" applyBorder="1" applyAlignment="1">
      <alignment horizontal="center" vertical="top" wrapText="1"/>
    </xf>
    <xf numFmtId="166" fontId="35" fillId="0" borderId="13" xfId="0" applyNumberFormat="1" applyFont="1" applyBorder="1" applyAlignment="1">
      <alignment vertical="center" wrapText="1"/>
    </xf>
    <xf numFmtId="166" fontId="35" fillId="0" borderId="14" xfId="0" applyNumberFormat="1" applyFont="1" applyBorder="1" applyAlignment="1">
      <alignment vertical="center" wrapText="1"/>
    </xf>
    <xf numFmtId="0" fontId="35" fillId="5" borderId="13" xfId="0" applyFont="1" applyFill="1" applyBorder="1" applyAlignment="1">
      <alignment vertical="center" wrapText="1"/>
    </xf>
    <xf numFmtId="0" fontId="35" fillId="5" borderId="14" xfId="0" applyFont="1" applyFill="1" applyBorder="1" applyAlignment="1">
      <alignment vertical="center" wrapText="1"/>
    </xf>
    <xf numFmtId="0" fontId="35" fillId="0" borderId="13" xfId="0" applyFont="1" applyBorder="1" applyAlignment="1">
      <alignment vertical="center" wrapText="1"/>
    </xf>
    <xf numFmtId="0" fontId="35" fillId="0" borderId="14" xfId="0" applyFont="1" applyBorder="1" applyAlignment="1">
      <alignment vertical="center" wrapText="1"/>
    </xf>
    <xf numFmtId="0" fontId="36" fillId="0" borderId="13" xfId="0" applyFont="1" applyBorder="1" applyAlignment="1">
      <alignment horizontal="center" vertical="center" wrapText="1"/>
    </xf>
    <xf numFmtId="0" fontId="36" fillId="0" borderId="14" xfId="0" applyFont="1" applyBorder="1" applyAlignment="1">
      <alignment horizontal="center" vertical="center" wrapText="1"/>
    </xf>
    <xf numFmtId="0" fontId="35" fillId="0" borderId="13" xfId="0" applyFont="1" applyBorder="1" applyAlignment="1">
      <alignment horizontal="center" vertical="top" wrapText="1"/>
    </xf>
    <xf numFmtId="0" fontId="35" fillId="0" borderId="14" xfId="0" applyFont="1" applyBorder="1" applyAlignment="1">
      <alignment horizontal="center" vertical="top" wrapText="1"/>
    </xf>
    <xf numFmtId="0" fontId="52" fillId="0" borderId="7" xfId="0" applyFont="1" applyBorder="1" applyAlignment="1">
      <alignment vertical="center" wrapText="1"/>
    </xf>
    <xf numFmtId="0" fontId="52" fillId="0" borderId="15" xfId="0" applyFont="1" applyBorder="1" applyAlignment="1">
      <alignment vertical="center" wrapText="1"/>
    </xf>
    <xf numFmtId="0" fontId="35" fillId="0" borderId="7" xfId="0" applyFont="1" applyBorder="1" applyAlignment="1">
      <alignment vertical="center" wrapText="1"/>
    </xf>
    <xf numFmtId="0" fontId="35" fillId="0" borderId="15" xfId="0" applyFont="1" applyBorder="1" applyAlignment="1">
      <alignment vertical="center" wrapText="1"/>
    </xf>
    <xf numFmtId="0" fontId="36" fillId="5" borderId="7" xfId="0" applyFont="1" applyFill="1" applyBorder="1" applyAlignment="1">
      <alignment horizontal="center" vertical="top" wrapText="1"/>
    </xf>
    <xf numFmtId="0" fontId="36" fillId="5" borderId="15" xfId="0" applyFont="1" applyFill="1" applyBorder="1" applyAlignment="1">
      <alignment horizontal="center" vertical="top" wrapText="1"/>
    </xf>
    <xf numFmtId="166" fontId="36" fillId="0" borderId="12" xfId="0" applyNumberFormat="1" applyFont="1" applyBorder="1" applyAlignment="1">
      <alignment horizontal="left" vertical="center" wrapText="1"/>
    </xf>
    <xf numFmtId="166" fontId="36" fillId="0" borderId="8" xfId="0" applyNumberFormat="1" applyFont="1" applyBorder="1" applyAlignment="1">
      <alignment horizontal="left" vertical="center" wrapText="1"/>
    </xf>
    <xf numFmtId="166" fontId="36" fillId="0" borderId="11" xfId="0" applyNumberFormat="1" applyFont="1" applyBorder="1" applyAlignment="1">
      <alignment horizontal="left" vertical="center" wrapText="1"/>
    </xf>
    <xf numFmtId="0" fontId="37" fillId="0" borderId="14" xfId="0" applyFont="1" applyBorder="1" applyAlignment="1">
      <alignment vertical="center" wrapText="1"/>
    </xf>
    <xf numFmtId="0" fontId="4" fillId="6" borderId="13" xfId="0" applyFont="1" applyFill="1" applyBorder="1" applyAlignment="1">
      <alignment horizontal="center" vertical="center" wrapText="1"/>
    </xf>
    <xf numFmtId="0" fontId="4" fillId="6" borderId="14" xfId="0" applyFont="1" applyFill="1" applyBorder="1" applyAlignment="1">
      <alignment horizontal="center" vertical="center" wrapText="1"/>
    </xf>
    <xf numFmtId="0" fontId="30" fillId="0" borderId="13" xfId="0" applyFont="1" applyBorder="1" applyAlignment="1">
      <alignment horizontal="center" vertical="center" wrapText="1"/>
    </xf>
    <xf numFmtId="0" fontId="30" fillId="0" borderId="14" xfId="0" applyFont="1" applyBorder="1" applyAlignment="1">
      <alignment horizontal="center" vertical="center" wrapText="1"/>
    </xf>
    <xf numFmtId="0" fontId="37" fillId="0" borderId="13" xfId="0" applyFont="1" applyBorder="1" applyAlignment="1">
      <alignment vertical="center" wrapText="1"/>
    </xf>
    <xf numFmtId="0" fontId="66" fillId="0" borderId="13" xfId="0" applyFont="1" applyBorder="1" applyAlignment="1">
      <alignment horizontal="center" vertical="center" wrapText="1"/>
    </xf>
    <xf numFmtId="0" fontId="66" fillId="0" borderId="14" xfId="0" applyFont="1" applyBorder="1" applyAlignment="1">
      <alignment horizontal="center" vertical="center" wrapText="1"/>
    </xf>
    <xf numFmtId="166" fontId="0" fillId="0" borderId="0" xfId="0" applyNumberFormat="1"/>
    <xf numFmtId="0" fontId="31" fillId="5" borderId="13" xfId="0" applyFont="1" applyFill="1" applyBorder="1" applyAlignment="1">
      <alignment horizontal="center" wrapText="1"/>
    </xf>
    <xf numFmtId="0" fontId="31" fillId="5" borderId="14" xfId="0" applyFont="1" applyFill="1" applyBorder="1" applyAlignment="1">
      <alignment horizontal="center" wrapText="1"/>
    </xf>
    <xf numFmtId="0" fontId="31" fillId="5" borderId="12" xfId="0" applyFont="1" applyFill="1" applyBorder="1" applyAlignment="1">
      <alignment horizontal="center" wrapText="1"/>
    </xf>
    <xf numFmtId="0" fontId="31" fillId="5" borderId="11" xfId="0" applyFont="1" applyFill="1" applyBorder="1" applyAlignment="1">
      <alignment horizontal="center" wrapText="1"/>
    </xf>
    <xf numFmtId="166" fontId="30" fillId="2" borderId="13" xfId="0" applyNumberFormat="1" applyFont="1" applyFill="1" applyBorder="1" applyAlignment="1">
      <alignment vertical="center" wrapText="1"/>
    </xf>
    <xf numFmtId="0" fontId="0" fillId="0" borderId="14" xfId="0" applyBorder="1" applyAlignment="1">
      <alignment vertical="center" wrapText="1"/>
    </xf>
    <xf numFmtId="0" fontId="30" fillId="0" borderId="14" xfId="0" applyFont="1" applyBorder="1" applyAlignment="1">
      <alignment horizontal="center" vertical="top" wrapText="1"/>
    </xf>
    <xf numFmtId="0" fontId="30" fillId="0" borderId="7" xfId="0" applyFont="1" applyBorder="1" applyAlignment="1">
      <alignment vertical="center" wrapText="1"/>
    </xf>
    <xf numFmtId="0" fontId="30" fillId="0" borderId="15" xfId="0" applyFont="1" applyBorder="1" applyAlignment="1">
      <alignment vertical="center" wrapText="1"/>
    </xf>
    <xf numFmtId="0" fontId="37" fillId="0" borderId="13" xfId="0" applyFont="1" applyBorder="1" applyAlignment="1">
      <alignment horizontal="center" vertical="top"/>
    </xf>
    <xf numFmtId="0" fontId="22" fillId="0" borderId="14" xfId="0" applyFont="1" applyBorder="1" applyAlignment="1">
      <alignment horizontal="center" vertical="top"/>
    </xf>
    <xf numFmtId="0" fontId="30" fillId="8" borderId="13" xfId="0" applyFont="1" applyFill="1" applyBorder="1" applyAlignment="1">
      <alignment horizontal="center" vertical="center" wrapText="1"/>
    </xf>
    <xf numFmtId="0" fontId="30" fillId="8" borderId="14" xfId="0" applyFont="1" applyFill="1" applyBorder="1" applyAlignment="1">
      <alignment horizontal="center" vertical="center" wrapText="1"/>
    </xf>
    <xf numFmtId="0" fontId="30" fillId="8" borderId="13" xfId="0" applyFont="1" applyFill="1" applyBorder="1" applyAlignment="1">
      <alignment vertical="center" wrapText="1"/>
    </xf>
    <xf numFmtId="0" fontId="30" fillId="8" borderId="14" xfId="0" applyFont="1" applyFill="1" applyBorder="1" applyAlignment="1">
      <alignment vertical="center" wrapText="1"/>
    </xf>
    <xf numFmtId="0" fontId="31" fillId="0" borderId="12" xfId="0" applyFont="1" applyBorder="1" applyAlignment="1">
      <alignment horizontal="left" vertical="center" wrapText="1"/>
    </xf>
    <xf numFmtId="0" fontId="31" fillId="0" borderId="8" xfId="0" applyFont="1" applyBorder="1" applyAlignment="1">
      <alignment horizontal="left" vertical="center" wrapText="1"/>
    </xf>
    <xf numFmtId="0" fontId="31" fillId="0" borderId="11" xfId="0" applyFont="1" applyBorder="1" applyAlignment="1">
      <alignment horizontal="left" vertical="center" wrapText="1"/>
    </xf>
    <xf numFmtId="0" fontId="42" fillId="5" borderId="13" xfId="0" applyFont="1" applyFill="1" applyBorder="1" applyAlignment="1">
      <alignment horizontal="center" vertical="center" wrapText="1"/>
    </xf>
    <xf numFmtId="0" fontId="42" fillId="5" borderId="14" xfId="0" applyFont="1" applyFill="1" applyBorder="1" applyAlignment="1">
      <alignment horizontal="center" vertical="center" wrapText="1"/>
    </xf>
    <xf numFmtId="0" fontId="31" fillId="0" borderId="7" xfId="0" applyFont="1" applyBorder="1" applyAlignment="1">
      <alignment vertical="top" wrapText="1"/>
    </xf>
    <xf numFmtId="0" fontId="31" fillId="0" borderId="15" xfId="0" applyFont="1" applyBorder="1" applyAlignment="1">
      <alignment vertical="top" wrapText="1"/>
    </xf>
    <xf numFmtId="0" fontId="30" fillId="0" borderId="13" xfId="0" applyFont="1" applyBorder="1" applyAlignment="1">
      <alignment horizontal="center" wrapText="1"/>
    </xf>
    <xf numFmtId="0" fontId="30" fillId="0" borderId="14" xfId="0" applyFont="1" applyBorder="1" applyAlignment="1">
      <alignment horizontal="center" wrapText="1"/>
    </xf>
    <xf numFmtId="0" fontId="30" fillId="5" borderId="13" xfId="0" applyFont="1" applyFill="1" applyBorder="1" applyAlignment="1">
      <alignment horizontal="center" vertical="top" wrapText="1"/>
    </xf>
    <xf numFmtId="0" fontId="30" fillId="5" borderId="14" xfId="0" applyFont="1" applyFill="1" applyBorder="1" applyAlignment="1">
      <alignment horizontal="center" vertical="top" wrapText="1"/>
    </xf>
    <xf numFmtId="0" fontId="30" fillId="5" borderId="14" xfId="0" applyFont="1" applyFill="1" applyBorder="1" applyAlignment="1">
      <alignment vertical="top" wrapText="1"/>
    </xf>
    <xf numFmtId="0" fontId="28" fillId="5" borderId="12" xfId="0" applyFont="1" applyFill="1" applyBorder="1" applyAlignment="1">
      <alignment horizontal="center" vertical="top" wrapText="1"/>
    </xf>
    <xf numFmtId="0" fontId="28" fillId="5" borderId="11" xfId="0" applyFont="1" applyFill="1" applyBorder="1" applyAlignment="1">
      <alignment horizontal="center" vertical="top" wrapText="1"/>
    </xf>
    <xf numFmtId="166" fontId="37" fillId="0" borderId="13" xfId="0" applyNumberFormat="1" applyFont="1" applyBorder="1" applyAlignment="1">
      <alignment wrapText="1"/>
    </xf>
    <xf numFmtId="166" fontId="37" fillId="0" borderId="14" xfId="0" applyNumberFormat="1" applyFont="1" applyBorder="1" applyAlignment="1">
      <alignment wrapText="1"/>
    </xf>
    <xf numFmtId="166" fontId="37" fillId="0" borderId="13" xfId="0" applyNumberFormat="1" applyFont="1" applyBorder="1" applyAlignment="1">
      <alignment horizontal="right" vertical="center" wrapText="1"/>
    </xf>
    <xf numFmtId="166" fontId="37" fillId="0" borderId="14" xfId="0" applyNumberFormat="1" applyFont="1" applyBorder="1" applyAlignment="1">
      <alignment horizontal="right" vertical="center" wrapText="1"/>
    </xf>
    <xf numFmtId="166" fontId="37" fillId="0" borderId="13" xfId="0" applyNumberFormat="1" applyFont="1" applyBorder="1" applyAlignment="1">
      <alignment horizontal="center" vertical="center" wrapText="1"/>
    </xf>
    <xf numFmtId="166" fontId="37" fillId="0" borderId="14" xfId="0" applyNumberFormat="1" applyFont="1" applyBorder="1" applyAlignment="1">
      <alignment horizontal="center" vertical="center" wrapText="1"/>
    </xf>
    <xf numFmtId="0" fontId="30" fillId="0" borderId="14" xfId="0" applyFont="1" applyBorder="1" applyAlignment="1">
      <alignment vertical="top" wrapText="1"/>
    </xf>
    <xf numFmtId="0" fontId="37" fillId="0" borderId="13" xfId="0" applyFont="1" applyBorder="1" applyAlignment="1">
      <alignment vertical="top" wrapText="1"/>
    </xf>
    <xf numFmtId="0" fontId="37" fillId="0" borderId="14" xfId="0" applyFont="1" applyBorder="1" applyAlignment="1">
      <alignment vertical="top" wrapText="1"/>
    </xf>
    <xf numFmtId="0" fontId="30" fillId="0" borderId="7" xfId="0" applyFont="1" applyBorder="1" applyAlignment="1">
      <alignment vertical="top" wrapText="1"/>
    </xf>
    <xf numFmtId="0" fontId="30" fillId="0" borderId="15" xfId="0" applyFont="1" applyBorder="1" applyAlignment="1">
      <alignment vertical="top" wrapText="1"/>
    </xf>
    <xf numFmtId="0" fontId="31" fillId="7" borderId="11" xfId="0" applyFont="1" applyFill="1" applyBorder="1" applyAlignment="1">
      <alignment horizontal="left" vertical="center" wrapText="1"/>
    </xf>
    <xf numFmtId="0" fontId="31" fillId="5" borderId="9" xfId="0" applyFont="1" applyFill="1" applyBorder="1" applyAlignment="1">
      <alignment horizontal="center" vertical="center" wrapText="1"/>
    </xf>
    <xf numFmtId="0" fontId="31" fillId="5" borderId="2" xfId="0" applyFont="1" applyFill="1" applyBorder="1" applyAlignment="1">
      <alignment horizontal="center" vertical="center" wrapText="1"/>
    </xf>
    <xf numFmtId="0" fontId="42" fillId="5" borderId="9" xfId="0" applyFont="1" applyFill="1" applyBorder="1" applyAlignment="1">
      <alignment horizontal="center" vertical="center" wrapText="1"/>
    </xf>
    <xf numFmtId="0" fontId="31" fillId="5" borderId="18" xfId="0" applyFont="1" applyFill="1" applyBorder="1" applyAlignment="1">
      <alignment horizontal="center" vertical="center" wrapText="1"/>
    </xf>
    <xf numFmtId="0" fontId="31" fillId="5" borderId="24" xfId="0" applyFont="1" applyFill="1" applyBorder="1" applyAlignment="1">
      <alignment horizontal="center" vertical="center" wrapText="1"/>
    </xf>
    <xf numFmtId="0" fontId="31" fillId="5" borderId="17" xfId="0" applyFont="1" applyFill="1" applyBorder="1" applyAlignment="1">
      <alignment horizontal="center" vertical="center" wrapText="1"/>
    </xf>
    <xf numFmtId="0" fontId="31" fillId="5" borderId="25" xfId="0" applyFont="1" applyFill="1" applyBorder="1" applyAlignment="1">
      <alignment horizontal="center" vertical="center" wrapText="1"/>
    </xf>
    <xf numFmtId="0" fontId="28" fillId="5" borderId="13" xfId="0" applyFont="1" applyFill="1" applyBorder="1" applyAlignment="1">
      <alignment horizontal="center" vertical="top" wrapText="1"/>
    </xf>
    <xf numFmtId="0" fontId="28" fillId="5" borderId="14" xfId="0" applyFont="1" applyFill="1" applyBorder="1" applyAlignment="1">
      <alignment horizontal="center" vertical="top" wrapText="1"/>
    </xf>
    <xf numFmtId="0" fontId="31" fillId="6" borderId="12" xfId="0" applyFont="1" applyFill="1" applyBorder="1" applyAlignment="1">
      <alignment vertical="center" wrapText="1"/>
    </xf>
    <xf numFmtId="0" fontId="31" fillId="6" borderId="8" xfId="0" applyFont="1" applyFill="1" applyBorder="1" applyAlignment="1">
      <alignment vertical="center" wrapText="1"/>
    </xf>
    <xf numFmtId="0" fontId="31" fillId="6" borderId="11" xfId="0" applyFont="1" applyFill="1" applyBorder="1" applyAlignment="1">
      <alignment vertical="center" wrapText="1"/>
    </xf>
    <xf numFmtId="0" fontId="28" fillId="5" borderId="18" xfId="0" applyFont="1" applyFill="1" applyBorder="1" applyAlignment="1">
      <alignment horizontal="center" vertical="top" wrapText="1"/>
    </xf>
    <xf numFmtId="0" fontId="28" fillId="5" borderId="24" xfId="0" applyFont="1" applyFill="1" applyBorder="1" applyAlignment="1">
      <alignment horizontal="center" vertical="top" wrapText="1"/>
    </xf>
    <xf numFmtId="0" fontId="28" fillId="5" borderId="17" xfId="0" applyFont="1" applyFill="1" applyBorder="1" applyAlignment="1">
      <alignment horizontal="center" vertical="top" wrapText="1"/>
    </xf>
    <xf numFmtId="0" fontId="28" fillId="5" borderId="25" xfId="0" applyFont="1" applyFill="1" applyBorder="1" applyAlignment="1">
      <alignment horizontal="center" vertical="top" wrapText="1"/>
    </xf>
    <xf numFmtId="0" fontId="28" fillId="5" borderId="13" xfId="0" applyFont="1" applyFill="1" applyBorder="1" applyAlignment="1">
      <alignment horizontal="center" vertical="top"/>
    </xf>
    <xf numFmtId="0" fontId="28" fillId="5" borderId="14" xfId="0" applyFont="1" applyFill="1" applyBorder="1" applyAlignment="1">
      <alignment horizontal="center" vertical="top"/>
    </xf>
  </cellXfs>
  <cellStyles count="23">
    <cellStyle name="Comma" xfId="1" builtinId="3"/>
    <cellStyle name="Comma 2" xfId="2" xr:uid="{00000000-0005-0000-0000-000002000000}"/>
    <cellStyle name="Comma 2 2" xfId="3" xr:uid="{00000000-0005-0000-0000-000003000000}"/>
    <cellStyle name="Comma 3" xfId="4" xr:uid="{00000000-0005-0000-0000-000004000000}"/>
    <cellStyle name="Comma 3 2" xfId="5" xr:uid="{00000000-0005-0000-0000-000005000000}"/>
    <cellStyle name="Currency 2" xfId="6" xr:uid="{00000000-0005-0000-0000-000006000000}"/>
    <cellStyle name="Currency 2 2" xfId="7" xr:uid="{00000000-0005-0000-0000-000007000000}"/>
    <cellStyle name="Currency 3" xfId="8" xr:uid="{00000000-0005-0000-0000-000008000000}"/>
    <cellStyle name="Currency 3 2" xfId="9" xr:uid="{00000000-0005-0000-0000-000009000000}"/>
    <cellStyle name="Normal" xfId="0" builtinId="0"/>
    <cellStyle name="Normal 10" xfId="10" xr:uid="{00000000-0005-0000-0000-00000B000000}"/>
    <cellStyle name="Normal 17" xfId="11" xr:uid="{00000000-0005-0000-0000-00000C000000}"/>
    <cellStyle name="Normal 2" xfId="12" xr:uid="{00000000-0005-0000-0000-00000D000000}"/>
    <cellStyle name="Normal 28" xfId="13" xr:uid="{00000000-0005-0000-0000-00000E000000}"/>
    <cellStyle name="Normal 3" xfId="22" xr:uid="{00000000-0005-0000-0000-00000F000000}"/>
    <cellStyle name="Normal 39" xfId="14" xr:uid="{00000000-0005-0000-0000-000010000000}"/>
    <cellStyle name="Normal 41" xfId="15" xr:uid="{00000000-0005-0000-0000-000011000000}"/>
    <cellStyle name="Normal 5" xfId="16" xr:uid="{00000000-0005-0000-0000-000012000000}"/>
    <cellStyle name="Normal 52" xfId="17" xr:uid="{00000000-0005-0000-0000-000013000000}"/>
    <cellStyle name="Normal 55" xfId="18" xr:uid="{00000000-0005-0000-0000-000014000000}"/>
    <cellStyle name="Percent 2" xfId="19" xr:uid="{00000000-0005-0000-0000-000015000000}"/>
    <cellStyle name="Percent 2 2" xfId="20" xr:uid="{00000000-0005-0000-0000-000016000000}"/>
    <cellStyle name="Percent 3" xfId="21" xr:uid="{00000000-0005-0000-0000-000017000000}"/>
  </cellStyles>
  <dxfs count="1">
    <dxf>
      <font>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63"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customXml" Target="../customXml/item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eetMetadata" Target="metadata.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4427220</xdr:colOff>
      <xdr:row>0</xdr:row>
      <xdr:rowOff>45720</xdr:rowOff>
    </xdr:from>
    <xdr:to>
      <xdr:col>2</xdr:col>
      <xdr:colOff>1264920</xdr:colOff>
      <xdr:row>3</xdr:row>
      <xdr:rowOff>243840</xdr:rowOff>
    </xdr:to>
    <xdr:pic>
      <xdr:nvPicPr>
        <xdr:cNvPr id="2" name="image.png">
          <a:extLst>
            <a:ext uri="{FF2B5EF4-FFF2-40B4-BE49-F238E27FC236}">
              <a16:creationId xmlns:a16="http://schemas.microsoft.com/office/drawing/2014/main" id="{199BB88A-DEC7-4896-A35A-72CD1817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4050" y="47625"/>
          <a:ext cx="1628775"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2700">
              <a:solidFill>
                <a:srgbClr val="000000"/>
              </a:solidFill>
              <a:miter lim="4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190500</xdr:colOff>
      <xdr:row>0</xdr:row>
      <xdr:rowOff>60960</xdr:rowOff>
    </xdr:from>
    <xdr:to>
      <xdr:col>1</xdr:col>
      <xdr:colOff>1577340</xdr:colOff>
      <xdr:row>3</xdr:row>
      <xdr:rowOff>312420</xdr:rowOff>
    </xdr:to>
    <xdr:pic>
      <xdr:nvPicPr>
        <xdr:cNvPr id="21556" name="image.png">
          <a:extLst>
            <a:ext uri="{FF2B5EF4-FFF2-40B4-BE49-F238E27FC236}">
              <a16:creationId xmlns:a16="http://schemas.microsoft.com/office/drawing/2014/main" id="{7C0A694C-A74F-41D8-A883-DA790CBA0D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0" y="60960"/>
          <a:ext cx="1775460"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2700">
              <a:solidFill>
                <a:srgbClr val="000000"/>
              </a:solidFill>
              <a:miter lim="4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Dropbox%20(Muteo%20Consulting)/Centurion%20Tenders/Electrical%20Engineering%20Submissions/2020/Ngwathe%20Local%20Municipality/KOPPIES%20SUB-STATION/Pricing/Koppies%20Sub-Station%20-%20Fee%20Proposal.xlsx" TargetMode="External"/><Relationship Id="rId1" Type="http://schemas.openxmlformats.org/officeDocument/2006/relationships/externalLinkPath" Target="/Users/User/Dropbox%20(Muteo%20Consulting)/Centurion%20Tenders/Electrical%20Engineering%20Submissions/2020/Ngwathe%20Local%20Municipality/KOPPIES%20SUB-STATION/Pricing/Koppies%20Sub-Station%20-%20Fee%20Propos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 Basis Calcs"/>
      <sheetName val=" Fees &amp; Disbursements"/>
      <sheetName val="Cost Estimates"/>
      <sheetName val="Lookup"/>
      <sheetName val="Sheet1"/>
    </sheetNames>
    <sheetDataSet>
      <sheetData sheetId="0"/>
      <sheetData sheetId="1"/>
      <sheetData sheetId="2">
        <row r="5">
          <cell r="F5">
            <v>300000</v>
          </cell>
        </row>
        <row r="6">
          <cell r="F6">
            <v>200000</v>
          </cell>
        </row>
        <row r="8">
          <cell r="F8">
            <v>350000</v>
          </cell>
        </row>
      </sheetData>
      <sheetData sheetId="3">
        <row r="12">
          <cell r="B12" t="str">
            <v>A</v>
          </cell>
          <cell r="C12">
            <v>6</v>
          </cell>
          <cell r="D12">
            <v>8</v>
          </cell>
        </row>
        <row r="13">
          <cell r="B13" t="str">
            <v>B</v>
          </cell>
          <cell r="C13">
            <v>7</v>
          </cell>
          <cell r="D13">
            <v>9</v>
          </cell>
        </row>
        <row r="14">
          <cell r="B14" t="str">
            <v>C</v>
          </cell>
          <cell r="C14">
            <v>8</v>
          </cell>
          <cell r="D14">
            <v>10</v>
          </cell>
        </row>
        <row r="15">
          <cell r="B15" t="str">
            <v>D</v>
          </cell>
          <cell r="C15">
            <v>9</v>
          </cell>
          <cell r="D15">
            <v>11</v>
          </cell>
        </row>
        <row r="16">
          <cell r="B16" t="str">
            <v>E</v>
          </cell>
          <cell r="C16">
            <v>10</v>
          </cell>
          <cell r="D16">
            <v>13</v>
          </cell>
        </row>
        <row r="17">
          <cell r="B17" t="str">
            <v>F</v>
          </cell>
          <cell r="C17">
            <v>11</v>
          </cell>
          <cell r="D17">
            <v>14</v>
          </cell>
        </row>
        <row r="18">
          <cell r="B18" t="str">
            <v>G</v>
          </cell>
          <cell r="C18">
            <v>12</v>
          </cell>
          <cell r="D18">
            <v>15</v>
          </cell>
        </row>
        <row r="19">
          <cell r="B19" t="str">
            <v>M</v>
          </cell>
          <cell r="C19">
            <v>2</v>
          </cell>
          <cell r="D19">
            <v>4</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1AD58-A413-4E76-B8D5-186D6870D835}">
  <sheetPr>
    <pageSetUpPr fitToPage="1"/>
  </sheetPr>
  <dimension ref="A1:E162"/>
  <sheetViews>
    <sheetView view="pageBreakPreview" topLeftCell="A26" zoomScaleNormal="100" zoomScaleSheetLayoutView="100" workbookViewId="0">
      <selection activeCell="F44" sqref="F44"/>
    </sheetView>
  </sheetViews>
  <sheetFormatPr defaultColWidth="9.109375" defaultRowHeight="13.2" x14ac:dyDescent="0.25"/>
  <cols>
    <col min="1" max="1" width="19" style="222" customWidth="1"/>
    <col min="2" max="2" width="69.88671875" style="248" customWidth="1"/>
    <col min="3" max="3" width="20.5546875" style="249" customWidth="1"/>
    <col min="4" max="4" width="13.21875" style="222" customWidth="1"/>
    <col min="5" max="28" width="11.6640625" style="222" customWidth="1"/>
    <col min="29" max="16384" width="9.109375" style="222"/>
  </cols>
  <sheetData>
    <row r="1" spans="1:3" ht="16.2" customHeight="1" x14ac:dyDescent="0.25">
      <c r="A1" s="894" t="s">
        <v>567</v>
      </c>
      <c r="B1" s="895"/>
      <c r="C1" s="221"/>
    </row>
    <row r="2" spans="1:3" x14ac:dyDescent="0.25">
      <c r="A2" s="896" t="s">
        <v>665</v>
      </c>
      <c r="B2" s="897"/>
      <c r="C2" s="223"/>
    </row>
    <row r="3" spans="1:3" x14ac:dyDescent="0.25">
      <c r="A3" s="896" t="s">
        <v>666</v>
      </c>
      <c r="B3" s="897"/>
      <c r="C3" s="223"/>
    </row>
    <row r="4" spans="1:3" ht="25.2" customHeight="1" thickBot="1" x14ac:dyDescent="0.3">
      <c r="A4" s="224"/>
      <c r="B4" s="225"/>
      <c r="C4" s="226"/>
    </row>
    <row r="5" spans="1:3" ht="22.95" customHeight="1" thickBot="1" x14ac:dyDescent="0.3">
      <c r="A5" s="898" t="s">
        <v>568</v>
      </c>
      <c r="B5" s="899"/>
      <c r="C5" s="900"/>
    </row>
    <row r="6" spans="1:3" ht="21" customHeight="1" thickBot="1" x14ac:dyDescent="0.3">
      <c r="A6" s="415" t="s">
        <v>569</v>
      </c>
      <c r="B6" s="415" t="s">
        <v>570</v>
      </c>
      <c r="C6" s="227" t="s">
        <v>571</v>
      </c>
    </row>
    <row r="7" spans="1:3" ht="13.8" x14ac:dyDescent="0.25">
      <c r="A7" s="228"/>
      <c r="B7" s="229"/>
      <c r="C7" s="230"/>
    </row>
    <row r="8" spans="1:3" ht="13.8" x14ac:dyDescent="0.25">
      <c r="A8" s="228">
        <v>1</v>
      </c>
      <c r="B8" s="231" t="s">
        <v>572</v>
      </c>
      <c r="C8" s="414">
        <f>Preliminaries!H70</f>
        <v>0</v>
      </c>
    </row>
    <row r="9" spans="1:3" ht="13.8" x14ac:dyDescent="0.25">
      <c r="A9" s="228"/>
      <c r="B9" s="234"/>
      <c r="C9" s="232"/>
    </row>
    <row r="10" spans="1:3" ht="13.8" x14ac:dyDescent="0.25">
      <c r="A10" s="228">
        <v>2</v>
      </c>
      <c r="B10" s="235" t="s">
        <v>314</v>
      </c>
      <c r="C10" s="232">
        <f>'Site Clearance Old'!G13</f>
        <v>942750</v>
      </c>
    </row>
    <row r="11" spans="1:3" ht="13.8" x14ac:dyDescent="0.25">
      <c r="A11" s="228"/>
      <c r="B11" s="234"/>
      <c r="C11" s="236"/>
    </row>
    <row r="12" spans="1:3" ht="13.8" x14ac:dyDescent="0.25">
      <c r="A12" s="228">
        <v>3</v>
      </c>
      <c r="B12" s="235" t="s">
        <v>315</v>
      </c>
      <c r="C12" s="232">
        <f>'Earthworks OLD'!G18</f>
        <v>8022034</v>
      </c>
    </row>
    <row r="13" spans="1:3" ht="13.95" customHeight="1" x14ac:dyDescent="0.25">
      <c r="A13" s="228"/>
      <c r="B13" s="235"/>
      <c r="C13" s="236"/>
    </row>
    <row r="14" spans="1:3" ht="13.8" x14ac:dyDescent="0.25">
      <c r="A14" s="228">
        <v>4</v>
      </c>
      <c r="B14" s="235" t="s">
        <v>316</v>
      </c>
      <c r="C14" s="232">
        <f>'Excavation &amp; Control Trench old'!G17</f>
        <v>576562</v>
      </c>
    </row>
    <row r="15" spans="1:3" ht="12" customHeight="1" x14ac:dyDescent="0.25">
      <c r="A15" s="228"/>
      <c r="B15" s="235"/>
      <c r="C15" s="236"/>
    </row>
    <row r="16" spans="1:3" ht="13.8" x14ac:dyDescent="0.25">
      <c r="A16" s="228">
        <v>5</v>
      </c>
      <c r="B16" s="235" t="s">
        <v>317</v>
      </c>
      <c r="C16" s="232">
        <f>Concrete!I23</f>
        <v>0</v>
      </c>
    </row>
    <row r="17" spans="1:3" ht="12.6" customHeight="1" x14ac:dyDescent="0.25">
      <c r="A17" s="228"/>
      <c r="B17" s="235"/>
      <c r="C17" s="236"/>
    </row>
    <row r="18" spans="1:3" ht="13.8" x14ac:dyDescent="0.25">
      <c r="A18" s="228">
        <v>6</v>
      </c>
      <c r="B18" s="235" t="s">
        <v>318</v>
      </c>
      <c r="C18" s="232">
        <f>'Structural Steel Work'!H34</f>
        <v>0</v>
      </c>
    </row>
    <row r="19" spans="1:3" ht="12.6" customHeight="1" x14ac:dyDescent="0.25">
      <c r="A19" s="228"/>
      <c r="B19" s="235"/>
      <c r="C19" s="236"/>
    </row>
    <row r="20" spans="1:3" ht="13.8" x14ac:dyDescent="0.25">
      <c r="A20" s="228">
        <v>7</v>
      </c>
      <c r="B20" s="235" t="s">
        <v>319</v>
      </c>
      <c r="C20" s="232">
        <f>'Cable Duct'!H19</f>
        <v>0</v>
      </c>
    </row>
    <row r="21" spans="1:3" ht="15" customHeight="1" x14ac:dyDescent="0.25">
      <c r="A21" s="228"/>
      <c r="B21" s="235"/>
      <c r="C21" s="236"/>
    </row>
    <row r="22" spans="1:3" ht="13.8" x14ac:dyDescent="0.25">
      <c r="A22" s="228">
        <v>8</v>
      </c>
      <c r="B22" s="235" t="s">
        <v>333</v>
      </c>
      <c r="C22" s="232">
        <f>'Storm Water Drainage OLD'!H33</f>
        <v>3414253</v>
      </c>
    </row>
    <row r="23" spans="1:3" ht="12" customHeight="1" x14ac:dyDescent="0.25">
      <c r="A23" s="228"/>
      <c r="B23" s="235"/>
      <c r="C23" s="236"/>
    </row>
    <row r="24" spans="1:3" ht="13.8" x14ac:dyDescent="0.25">
      <c r="A24" s="228">
        <v>9</v>
      </c>
      <c r="B24" s="235" t="s">
        <v>86</v>
      </c>
      <c r="C24" s="232">
        <f>Facilities!H15</f>
        <v>0</v>
      </c>
    </row>
    <row r="25" spans="1:3" ht="15" customHeight="1" x14ac:dyDescent="0.25">
      <c r="A25" s="228"/>
      <c r="B25" s="235"/>
      <c r="C25" s="236"/>
    </row>
    <row r="26" spans="1:3" ht="13.8" x14ac:dyDescent="0.25">
      <c r="A26" s="228">
        <v>10</v>
      </c>
      <c r="B26" s="235" t="s">
        <v>320</v>
      </c>
      <c r="C26" s="232">
        <f>'Substation Fencing'!H41</f>
        <v>0</v>
      </c>
    </row>
    <row r="27" spans="1:3" ht="12" customHeight="1" x14ac:dyDescent="0.25">
      <c r="A27" s="228"/>
      <c r="B27" s="235"/>
      <c r="C27" s="236"/>
    </row>
    <row r="28" spans="1:3" ht="15" customHeight="1" x14ac:dyDescent="0.25">
      <c r="A28" s="228">
        <v>11</v>
      </c>
      <c r="B28" s="235" t="s">
        <v>321</v>
      </c>
      <c r="C28" s="232">
        <f>'Installation of Earth Grid'!H21</f>
        <v>0</v>
      </c>
    </row>
    <row r="29" spans="1:3" ht="16.2" customHeight="1" x14ac:dyDescent="0.25">
      <c r="A29" s="228"/>
      <c r="B29" s="235"/>
      <c r="C29" s="237"/>
    </row>
    <row r="30" spans="1:3" ht="16.2" customHeight="1" x14ac:dyDescent="0.25">
      <c r="A30" s="228">
        <v>12</v>
      </c>
      <c r="B30" s="235" t="s">
        <v>322</v>
      </c>
      <c r="C30" s="237">
        <f>'MV Metal Clad Sw Gear'!H48</f>
        <v>0</v>
      </c>
    </row>
    <row r="31" spans="1:3" ht="16.2" customHeight="1" x14ac:dyDescent="0.25">
      <c r="A31" s="228"/>
      <c r="B31" s="235"/>
      <c r="C31" s="237"/>
    </row>
    <row r="32" spans="1:3" ht="16.2" customHeight="1" x14ac:dyDescent="0.25">
      <c r="A32" s="228">
        <v>13</v>
      </c>
      <c r="B32" s="235" t="s">
        <v>323</v>
      </c>
      <c r="C32" s="237">
        <f>'General Electrical'!H30</f>
        <v>0</v>
      </c>
    </row>
    <row r="33" spans="1:5" ht="16.2" customHeight="1" x14ac:dyDescent="0.25">
      <c r="A33" s="228"/>
      <c r="B33" s="235"/>
      <c r="C33" s="237"/>
    </row>
    <row r="34" spans="1:5" ht="16.2" customHeight="1" x14ac:dyDescent="0.25">
      <c r="A34" s="228">
        <v>14</v>
      </c>
      <c r="B34" s="235" t="s">
        <v>324</v>
      </c>
      <c r="C34" s="237">
        <f>'Outdoor Equipment'!H31</f>
        <v>0</v>
      </c>
    </row>
    <row r="35" spans="1:5" ht="16.2" customHeight="1" x14ac:dyDescent="0.25">
      <c r="A35" s="228"/>
      <c r="B35" s="235"/>
      <c r="C35" s="237"/>
    </row>
    <row r="36" spans="1:5" ht="16.2" customHeight="1" x14ac:dyDescent="0.25">
      <c r="A36" s="228">
        <v>15</v>
      </c>
      <c r="B36" s="235" t="s">
        <v>747</v>
      </c>
      <c r="C36" s="237">
        <f>'MV Cable Work'!H73</f>
        <v>0</v>
      </c>
    </row>
    <row r="37" spans="1:5" ht="16.2" customHeight="1" x14ac:dyDescent="0.25">
      <c r="A37" s="228"/>
      <c r="B37" s="235"/>
      <c r="C37" s="237"/>
    </row>
    <row r="38" spans="1:5" ht="16.2" customHeight="1" x14ac:dyDescent="0.25">
      <c r="A38" s="228">
        <v>16</v>
      </c>
      <c r="B38" s="235" t="s">
        <v>564</v>
      </c>
      <c r="C38" s="237">
        <f>'Conductor Stringing'!H20</f>
        <v>0</v>
      </c>
    </row>
    <row r="39" spans="1:5" ht="16.2" customHeight="1" x14ac:dyDescent="0.25">
      <c r="A39" s="228"/>
      <c r="B39" s="235"/>
      <c r="C39" s="237"/>
    </row>
    <row r="40" spans="1:5" ht="16.2" customHeight="1" x14ac:dyDescent="0.25">
      <c r="A40" s="228">
        <v>17</v>
      </c>
      <c r="B40" s="235" t="s">
        <v>761</v>
      </c>
      <c r="C40" s="237" cm="1">
        <f t="array" ref="C40">'Install Clamps'!H42:H42</f>
        <v>0</v>
      </c>
    </row>
    <row r="41" spans="1:5" ht="16.2" customHeight="1" x14ac:dyDescent="0.25">
      <c r="A41" s="228"/>
      <c r="B41" s="235"/>
      <c r="C41" s="237"/>
    </row>
    <row r="42" spans="1:5" ht="16.2" customHeight="1" x14ac:dyDescent="0.25">
      <c r="A42" s="228">
        <v>18</v>
      </c>
      <c r="B42" s="235" t="s">
        <v>326</v>
      </c>
      <c r="C42" s="237">
        <f>'Commissioning '!H30</f>
        <v>0</v>
      </c>
    </row>
    <row r="43" spans="1:5" ht="16.2" customHeight="1" x14ac:dyDescent="0.25">
      <c r="A43" s="228"/>
      <c r="B43" s="235"/>
      <c r="C43" s="237"/>
    </row>
    <row r="44" spans="1:5" ht="15.6" customHeight="1" x14ac:dyDescent="0.25">
      <c r="A44" s="228"/>
      <c r="B44" s="378" t="s">
        <v>573</v>
      </c>
      <c r="C44" s="379">
        <f>SUM(C8:C42)</f>
        <v>12955599</v>
      </c>
      <c r="D44" s="489"/>
    </row>
    <row r="45" spans="1:5" ht="13.8" x14ac:dyDescent="0.25">
      <c r="A45" s="228"/>
      <c r="B45" s="238"/>
      <c r="C45" s="240"/>
      <c r="E45" s="488"/>
    </row>
    <row r="46" spans="1:5" ht="13.8" x14ac:dyDescent="0.25">
      <c r="A46" s="228"/>
      <c r="B46" s="238" t="s">
        <v>984</v>
      </c>
      <c r="C46" s="239">
        <f>C44*0.05</f>
        <v>647779.95000000007</v>
      </c>
    </row>
    <row r="47" spans="1:5" ht="13.8" x14ac:dyDescent="0.25">
      <c r="A47" s="228"/>
      <c r="B47" s="378"/>
      <c r="C47" s="380"/>
    </row>
    <row r="48" spans="1:5" ht="13.8" x14ac:dyDescent="0.25">
      <c r="A48" s="228"/>
      <c r="B48" s="378" t="s">
        <v>576</v>
      </c>
      <c r="C48" s="379">
        <f>C44+C46</f>
        <v>13603378.949999999</v>
      </c>
    </row>
    <row r="49" spans="1:3" ht="13.8" x14ac:dyDescent="0.25">
      <c r="A49" s="228"/>
      <c r="B49" s="378"/>
      <c r="C49" s="380"/>
    </row>
    <row r="50" spans="1:3" ht="13.8" x14ac:dyDescent="0.25">
      <c r="A50" s="228"/>
      <c r="B50" s="238" t="s">
        <v>574</v>
      </c>
      <c r="C50" s="240">
        <f>'Fees '!G35</f>
        <v>1081887.3600000001</v>
      </c>
    </row>
    <row r="51" spans="1:3" ht="13.8" x14ac:dyDescent="0.25">
      <c r="A51" s="228"/>
      <c r="B51" s="238"/>
      <c r="C51" s="240"/>
    </row>
    <row r="52" spans="1:3" ht="13.8" x14ac:dyDescent="0.25">
      <c r="A52" s="228"/>
      <c r="B52" s="238" t="s">
        <v>575</v>
      </c>
      <c r="C52" s="240">
        <f>'Fees '!G48</f>
        <v>1350000</v>
      </c>
    </row>
    <row r="53" spans="1:3" ht="13.8" x14ac:dyDescent="0.25">
      <c r="A53" s="228"/>
      <c r="B53" s="238"/>
      <c r="C53" s="380"/>
    </row>
    <row r="54" spans="1:3" ht="13.8" x14ac:dyDescent="0.25">
      <c r="A54" s="228"/>
      <c r="B54" s="378" t="s">
        <v>987</v>
      </c>
      <c r="C54" s="380">
        <f>C48+C50+C52</f>
        <v>16035266.309999999</v>
      </c>
    </row>
    <row r="55" spans="1:3" ht="13.8" x14ac:dyDescent="0.25">
      <c r="A55" s="228"/>
      <c r="B55" s="238"/>
      <c r="C55" s="380"/>
    </row>
    <row r="56" spans="1:3" ht="13.8" x14ac:dyDescent="0.25">
      <c r="A56" s="228"/>
      <c r="B56" s="241" t="s">
        <v>577</v>
      </c>
      <c r="C56" s="239">
        <f>C48*0.15</f>
        <v>2040506.8424999998</v>
      </c>
    </row>
    <row r="57" spans="1:3" ht="14.4" thickBot="1" x14ac:dyDescent="0.3">
      <c r="A57" s="228"/>
      <c r="B57" s="241"/>
      <c r="C57" s="242"/>
    </row>
    <row r="58" spans="1:3" ht="24.6" customHeight="1" thickBot="1" x14ac:dyDescent="0.3">
      <c r="A58" s="243"/>
      <c r="B58" s="244" t="s">
        <v>578</v>
      </c>
      <c r="C58" s="245">
        <f>C54+C56</f>
        <v>18075773.1525</v>
      </c>
    </row>
    <row r="59" spans="1:3" x14ac:dyDescent="0.25">
      <c r="B59" s="246"/>
      <c r="C59" s="222"/>
    </row>
    <row r="60" spans="1:3" ht="26.4" hidden="1" x14ac:dyDescent="0.25">
      <c r="B60" s="246" t="s">
        <v>579</v>
      </c>
      <c r="C60" s="222"/>
    </row>
    <row r="61" spans="1:3" hidden="1" x14ac:dyDescent="0.25">
      <c r="B61" s="246"/>
      <c r="C61" s="222"/>
    </row>
    <row r="62" spans="1:3" ht="26.4" hidden="1" x14ac:dyDescent="0.25">
      <c r="B62" s="246" t="s">
        <v>580</v>
      </c>
      <c r="C62" s="222"/>
    </row>
    <row r="63" spans="1:3" hidden="1" x14ac:dyDescent="0.25">
      <c r="B63" s="246"/>
      <c r="C63" s="222"/>
    </row>
    <row r="64" spans="1:3" ht="26.4" hidden="1" x14ac:dyDescent="0.25">
      <c r="B64" s="247" t="s">
        <v>581</v>
      </c>
      <c r="C64" s="222"/>
    </row>
    <row r="65" spans="2:3" hidden="1" x14ac:dyDescent="0.25">
      <c r="B65" s="246"/>
      <c r="C65" s="222"/>
    </row>
    <row r="66" spans="2:3" ht="26.4" hidden="1" x14ac:dyDescent="0.25">
      <c r="B66" s="246" t="s">
        <v>582</v>
      </c>
      <c r="C66" s="222"/>
    </row>
    <row r="67" spans="2:3" hidden="1" x14ac:dyDescent="0.25">
      <c r="B67" s="246"/>
      <c r="C67" s="222"/>
    </row>
    <row r="68" spans="2:3" hidden="1" x14ac:dyDescent="0.25">
      <c r="B68" s="247" t="s">
        <v>583</v>
      </c>
      <c r="C68" s="222"/>
    </row>
    <row r="69" spans="2:3" hidden="1" x14ac:dyDescent="0.25">
      <c r="B69" s="246"/>
      <c r="C69" s="222"/>
    </row>
    <row r="70" spans="2:3" hidden="1" x14ac:dyDescent="0.25">
      <c r="B70" s="246" t="s">
        <v>584</v>
      </c>
      <c r="C70" s="222"/>
    </row>
    <row r="71" spans="2:3" hidden="1" x14ac:dyDescent="0.25">
      <c r="B71" s="246"/>
      <c r="C71" s="222"/>
    </row>
    <row r="72" spans="2:3" hidden="1" x14ac:dyDescent="0.25">
      <c r="B72" s="247" t="s">
        <v>585</v>
      </c>
      <c r="C72" s="222"/>
    </row>
    <row r="73" spans="2:3" hidden="1" x14ac:dyDescent="0.25">
      <c r="C73" s="222"/>
    </row>
    <row r="74" spans="2:3" hidden="1" x14ac:dyDescent="0.25">
      <c r="C74" s="222"/>
    </row>
    <row r="75" spans="2:3" hidden="1" x14ac:dyDescent="0.25">
      <c r="B75" s="247" t="s">
        <v>586</v>
      </c>
      <c r="C75" s="222"/>
    </row>
    <row r="76" spans="2:3" hidden="1" x14ac:dyDescent="0.25">
      <c r="C76" s="222"/>
    </row>
    <row r="77" spans="2:3" hidden="1" x14ac:dyDescent="0.25">
      <c r="C77" s="222"/>
    </row>
    <row r="78" spans="2:3" hidden="1" x14ac:dyDescent="0.25">
      <c r="C78" s="222"/>
    </row>
    <row r="79" spans="2:3" hidden="1" x14ac:dyDescent="0.25">
      <c r="C79" s="222"/>
    </row>
    <row r="80" spans="2:3" x14ac:dyDescent="0.25">
      <c r="C80" s="222"/>
    </row>
    <row r="81" spans="3:3" x14ac:dyDescent="0.25">
      <c r="C81" s="222"/>
    </row>
    <row r="82" spans="3:3" x14ac:dyDescent="0.25">
      <c r="C82" s="222"/>
    </row>
    <row r="83" spans="3:3" x14ac:dyDescent="0.25">
      <c r="C83" s="222"/>
    </row>
    <row r="84" spans="3:3" x14ac:dyDescent="0.25">
      <c r="C84" s="222"/>
    </row>
    <row r="85" spans="3:3" x14ac:dyDescent="0.25">
      <c r="C85" s="222"/>
    </row>
    <row r="86" spans="3:3" x14ac:dyDescent="0.25">
      <c r="C86" s="222"/>
    </row>
    <row r="87" spans="3:3" x14ac:dyDescent="0.25">
      <c r="C87" s="222"/>
    </row>
    <row r="88" spans="3:3" x14ac:dyDescent="0.25">
      <c r="C88" s="222"/>
    </row>
    <row r="89" spans="3:3" x14ac:dyDescent="0.25">
      <c r="C89" s="222"/>
    </row>
    <row r="90" spans="3:3" x14ac:dyDescent="0.25">
      <c r="C90" s="222"/>
    </row>
    <row r="91" spans="3:3" x14ac:dyDescent="0.25">
      <c r="C91" s="222"/>
    </row>
    <row r="92" spans="3:3" x14ac:dyDescent="0.25">
      <c r="C92" s="222"/>
    </row>
    <row r="93" spans="3:3" x14ac:dyDescent="0.25">
      <c r="C93" s="222"/>
    </row>
    <row r="94" spans="3:3" x14ac:dyDescent="0.25">
      <c r="C94" s="222"/>
    </row>
    <row r="95" spans="3:3" x14ac:dyDescent="0.25">
      <c r="C95" s="222"/>
    </row>
    <row r="96" spans="3:3" x14ac:dyDescent="0.25">
      <c r="C96" s="222"/>
    </row>
    <row r="97" spans="3:3" x14ac:dyDescent="0.25">
      <c r="C97" s="222"/>
    </row>
    <row r="98" spans="3:3" x14ac:dyDescent="0.25">
      <c r="C98" s="222"/>
    </row>
    <row r="99" spans="3:3" x14ac:dyDescent="0.25">
      <c r="C99" s="222"/>
    </row>
    <row r="100" spans="3:3" x14ac:dyDescent="0.25">
      <c r="C100" s="222"/>
    </row>
    <row r="101" spans="3:3" x14ac:dyDescent="0.25">
      <c r="C101" s="222"/>
    </row>
    <row r="102" spans="3:3" x14ac:dyDescent="0.25">
      <c r="C102" s="222"/>
    </row>
    <row r="103" spans="3:3" x14ac:dyDescent="0.25">
      <c r="C103" s="222"/>
    </row>
    <row r="104" spans="3:3" x14ac:dyDescent="0.25">
      <c r="C104" s="222"/>
    </row>
    <row r="105" spans="3:3" x14ac:dyDescent="0.25">
      <c r="C105" s="222"/>
    </row>
    <row r="106" spans="3:3" x14ac:dyDescent="0.25">
      <c r="C106" s="222"/>
    </row>
    <row r="107" spans="3:3" x14ac:dyDescent="0.25">
      <c r="C107" s="222"/>
    </row>
    <row r="108" spans="3:3" x14ac:dyDescent="0.25">
      <c r="C108" s="222"/>
    </row>
    <row r="109" spans="3:3" x14ac:dyDescent="0.25">
      <c r="C109" s="222"/>
    </row>
    <row r="110" spans="3:3" x14ac:dyDescent="0.25">
      <c r="C110" s="222"/>
    </row>
    <row r="111" spans="3:3" x14ac:dyDescent="0.25">
      <c r="C111" s="222"/>
    </row>
    <row r="112" spans="3:3" x14ac:dyDescent="0.25">
      <c r="C112" s="222"/>
    </row>
    <row r="113" spans="3:3" x14ac:dyDescent="0.25">
      <c r="C113" s="222"/>
    </row>
    <row r="114" spans="3:3" x14ac:dyDescent="0.25">
      <c r="C114" s="222"/>
    </row>
    <row r="115" spans="3:3" x14ac:dyDescent="0.25">
      <c r="C115" s="222"/>
    </row>
    <row r="116" spans="3:3" x14ac:dyDescent="0.25">
      <c r="C116" s="222"/>
    </row>
    <row r="117" spans="3:3" x14ac:dyDescent="0.25">
      <c r="C117" s="222"/>
    </row>
    <row r="118" spans="3:3" x14ac:dyDescent="0.25">
      <c r="C118" s="222"/>
    </row>
    <row r="119" spans="3:3" x14ac:dyDescent="0.25">
      <c r="C119" s="222"/>
    </row>
    <row r="120" spans="3:3" x14ac:dyDescent="0.25">
      <c r="C120" s="222"/>
    </row>
    <row r="121" spans="3:3" x14ac:dyDescent="0.25">
      <c r="C121" s="222"/>
    </row>
    <row r="122" spans="3:3" x14ac:dyDescent="0.25">
      <c r="C122" s="222"/>
    </row>
    <row r="123" spans="3:3" x14ac:dyDescent="0.25">
      <c r="C123" s="222"/>
    </row>
    <row r="124" spans="3:3" x14ac:dyDescent="0.25">
      <c r="C124" s="222"/>
    </row>
    <row r="125" spans="3:3" x14ac:dyDescent="0.25">
      <c r="C125" s="222"/>
    </row>
    <row r="126" spans="3:3" x14ac:dyDescent="0.25">
      <c r="C126" s="222"/>
    </row>
    <row r="127" spans="3:3" x14ac:dyDescent="0.25">
      <c r="C127" s="222"/>
    </row>
    <row r="128" spans="3:3" x14ac:dyDescent="0.25">
      <c r="C128" s="222"/>
    </row>
    <row r="129" spans="2:3" x14ac:dyDescent="0.25">
      <c r="C129" s="222"/>
    </row>
    <row r="130" spans="2:3" x14ac:dyDescent="0.25">
      <c r="C130" s="222"/>
    </row>
    <row r="131" spans="2:3" x14ac:dyDescent="0.25">
      <c r="C131" s="222"/>
    </row>
    <row r="132" spans="2:3" x14ac:dyDescent="0.25">
      <c r="C132" s="222"/>
    </row>
    <row r="133" spans="2:3" x14ac:dyDescent="0.25">
      <c r="C133" s="222"/>
    </row>
    <row r="134" spans="2:3" x14ac:dyDescent="0.25">
      <c r="C134" s="222"/>
    </row>
    <row r="135" spans="2:3" x14ac:dyDescent="0.25">
      <c r="C135" s="222"/>
    </row>
    <row r="136" spans="2:3" x14ac:dyDescent="0.25">
      <c r="C136" s="222"/>
    </row>
    <row r="137" spans="2:3" x14ac:dyDescent="0.25">
      <c r="B137" s="233">
        <v>263515.66000000003</v>
      </c>
      <c r="C137" s="222"/>
    </row>
    <row r="138" spans="2:3" x14ac:dyDescent="0.25">
      <c r="C138" s="222"/>
    </row>
    <row r="139" spans="2:3" x14ac:dyDescent="0.25">
      <c r="C139" s="222"/>
    </row>
    <row r="140" spans="2:3" x14ac:dyDescent="0.25">
      <c r="C140" s="222"/>
    </row>
    <row r="141" spans="2:3" x14ac:dyDescent="0.25">
      <c r="C141" s="222"/>
    </row>
    <row r="142" spans="2:3" x14ac:dyDescent="0.25">
      <c r="C142" s="222"/>
    </row>
    <row r="143" spans="2:3" x14ac:dyDescent="0.25">
      <c r="C143" s="222"/>
    </row>
    <row r="144" spans="2:3" x14ac:dyDescent="0.25">
      <c r="C144" s="222"/>
    </row>
    <row r="145" spans="3:3" x14ac:dyDescent="0.25">
      <c r="C145" s="222"/>
    </row>
    <row r="146" spans="3:3" x14ac:dyDescent="0.25">
      <c r="C146" s="222"/>
    </row>
    <row r="147" spans="3:3" x14ac:dyDescent="0.25">
      <c r="C147" s="222"/>
    </row>
    <row r="148" spans="3:3" x14ac:dyDescent="0.25">
      <c r="C148" s="222"/>
    </row>
    <row r="149" spans="3:3" x14ac:dyDescent="0.25">
      <c r="C149" s="222"/>
    </row>
    <row r="150" spans="3:3" x14ac:dyDescent="0.25">
      <c r="C150" s="222"/>
    </row>
    <row r="151" spans="3:3" x14ac:dyDescent="0.25">
      <c r="C151" s="222"/>
    </row>
    <row r="152" spans="3:3" x14ac:dyDescent="0.25">
      <c r="C152" s="222"/>
    </row>
    <row r="153" spans="3:3" x14ac:dyDescent="0.25">
      <c r="C153" s="222"/>
    </row>
    <row r="154" spans="3:3" x14ac:dyDescent="0.25">
      <c r="C154" s="222"/>
    </row>
    <row r="155" spans="3:3" x14ac:dyDescent="0.25">
      <c r="C155" s="222"/>
    </row>
    <row r="156" spans="3:3" x14ac:dyDescent="0.25">
      <c r="C156" s="222"/>
    </row>
    <row r="157" spans="3:3" x14ac:dyDescent="0.25">
      <c r="C157" s="222"/>
    </row>
    <row r="158" spans="3:3" x14ac:dyDescent="0.25">
      <c r="C158" s="222"/>
    </row>
    <row r="159" spans="3:3" x14ac:dyDescent="0.25">
      <c r="C159" s="222"/>
    </row>
    <row r="160" spans="3:3" x14ac:dyDescent="0.25">
      <c r="C160" s="222"/>
    </row>
    <row r="161" spans="3:3" x14ac:dyDescent="0.25">
      <c r="C161" s="222"/>
    </row>
    <row r="162" spans="3:3" x14ac:dyDescent="0.25">
      <c r="C162" s="222"/>
    </row>
  </sheetData>
  <mergeCells count="4">
    <mergeCell ref="A1:B1"/>
    <mergeCell ref="A2:B2"/>
    <mergeCell ref="A3:B3"/>
    <mergeCell ref="A5:C5"/>
  </mergeCells>
  <pageMargins left="0.70866141732283472" right="0.70866141732283472" top="0.86614173228346458" bottom="0.74803149606299213" header="0.31496062992125984" footer="0.31496062992125984"/>
  <pageSetup paperSize="9" scale="7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52BCE-5BDE-4A8C-879C-B5D7B303C4B4}">
  <sheetPr>
    <pageSetUpPr fitToPage="1"/>
  </sheetPr>
  <dimension ref="A1:D110"/>
  <sheetViews>
    <sheetView view="pageBreakPreview" topLeftCell="A22" zoomScaleNormal="100" zoomScaleSheetLayoutView="100" workbookViewId="0">
      <selection activeCell="C45" sqref="C45"/>
    </sheetView>
  </sheetViews>
  <sheetFormatPr defaultColWidth="9.109375" defaultRowHeight="13.2" x14ac:dyDescent="0.25"/>
  <cols>
    <col min="1" max="1" width="19" style="572" customWidth="1"/>
    <col min="2" max="2" width="60.6640625" style="590" customWidth="1"/>
    <col min="3" max="3" width="44.77734375" style="592" customWidth="1"/>
    <col min="4" max="4" width="13.21875" style="572" customWidth="1"/>
    <col min="5" max="28" width="11.6640625" style="572" customWidth="1"/>
    <col min="29" max="16384" width="9.109375" style="572"/>
  </cols>
  <sheetData>
    <row r="1" spans="1:3" ht="31.95" customHeight="1" thickBot="1" x14ac:dyDescent="0.3">
      <c r="A1" s="901" t="s">
        <v>568</v>
      </c>
      <c r="B1" s="902"/>
      <c r="C1" s="903"/>
    </row>
    <row r="2" spans="1:3" ht="31.95" customHeight="1" thickBot="1" x14ac:dyDescent="0.3">
      <c r="A2" s="571" t="s">
        <v>569</v>
      </c>
      <c r="B2" s="571" t="s">
        <v>570</v>
      </c>
      <c r="C2" s="573" t="s">
        <v>571</v>
      </c>
    </row>
    <row r="3" spans="1:3" ht="36" customHeight="1" x14ac:dyDescent="0.25">
      <c r="A3" s="574">
        <v>1</v>
      </c>
      <c r="B3" s="575" t="s">
        <v>572</v>
      </c>
      <c r="C3" s="853">
        <f>Preliminaries!H70</f>
        <v>0</v>
      </c>
    </row>
    <row r="4" spans="1:3" ht="36" customHeight="1" x14ac:dyDescent="0.25">
      <c r="A4" s="574">
        <v>2</v>
      </c>
      <c r="B4" s="577" t="s">
        <v>314</v>
      </c>
      <c r="C4" s="853">
        <f>'Site Clearance '!G13</f>
        <v>0</v>
      </c>
    </row>
    <row r="5" spans="1:3" ht="36" customHeight="1" x14ac:dyDescent="0.25">
      <c r="A5" s="574">
        <v>3</v>
      </c>
      <c r="B5" s="577" t="s">
        <v>315</v>
      </c>
      <c r="C5" s="853">
        <f>Earthworks!G17</f>
        <v>0</v>
      </c>
    </row>
    <row r="6" spans="1:3" ht="36" customHeight="1" x14ac:dyDescent="0.25">
      <c r="A6" s="574">
        <v>4</v>
      </c>
      <c r="B6" s="577" t="s">
        <v>316</v>
      </c>
      <c r="C6" s="853">
        <f>'Excavation &amp; Control Trench '!G17</f>
        <v>0</v>
      </c>
    </row>
    <row r="7" spans="1:3" ht="36" customHeight="1" x14ac:dyDescent="0.25">
      <c r="A7" s="574">
        <v>5</v>
      </c>
      <c r="B7" s="577" t="s">
        <v>317</v>
      </c>
      <c r="C7" s="853">
        <f>Concrete!I23</f>
        <v>0</v>
      </c>
    </row>
    <row r="8" spans="1:3" ht="36" customHeight="1" x14ac:dyDescent="0.25">
      <c r="A8" s="574">
        <v>6</v>
      </c>
      <c r="B8" s="577" t="s">
        <v>318</v>
      </c>
      <c r="C8" s="853">
        <f>'Structural Steel Work'!H34</f>
        <v>0</v>
      </c>
    </row>
    <row r="9" spans="1:3" ht="36" customHeight="1" x14ac:dyDescent="0.25">
      <c r="A9" s="574">
        <v>7</v>
      </c>
      <c r="B9" s="577" t="s">
        <v>319</v>
      </c>
      <c r="C9" s="853">
        <f>'Cable Duct'!H19</f>
        <v>0</v>
      </c>
    </row>
    <row r="10" spans="1:3" ht="36" customHeight="1" x14ac:dyDescent="0.25">
      <c r="A10" s="574">
        <v>8</v>
      </c>
      <c r="B10" s="577" t="s">
        <v>333</v>
      </c>
      <c r="C10" s="853">
        <f>'Storm Water Drainage '!H33</f>
        <v>0</v>
      </c>
    </row>
    <row r="11" spans="1:3" ht="36" customHeight="1" x14ac:dyDescent="0.25">
      <c r="A11" s="574">
        <v>9</v>
      </c>
      <c r="B11" s="577" t="s">
        <v>86</v>
      </c>
      <c r="C11" s="853">
        <f>Facilities!H15</f>
        <v>0</v>
      </c>
    </row>
    <row r="12" spans="1:3" ht="36" customHeight="1" x14ac:dyDescent="0.25">
      <c r="A12" s="574">
        <v>10</v>
      </c>
      <c r="B12" s="577" t="s">
        <v>320</v>
      </c>
      <c r="C12" s="853">
        <f>'Substation Fencing'!H41</f>
        <v>0</v>
      </c>
    </row>
    <row r="13" spans="1:3" ht="36" customHeight="1" x14ac:dyDescent="0.25">
      <c r="A13" s="574">
        <v>11</v>
      </c>
      <c r="B13" s="577" t="s">
        <v>321</v>
      </c>
      <c r="C13" s="853">
        <f>'Installation of Earth Grid'!H21</f>
        <v>0</v>
      </c>
    </row>
    <row r="14" spans="1:3" ht="36" customHeight="1" x14ac:dyDescent="0.25">
      <c r="A14" s="574">
        <v>12</v>
      </c>
      <c r="B14" s="577" t="s">
        <v>322</v>
      </c>
      <c r="C14" s="854">
        <f>'MV Metal Clad Sw Gear'!H48</f>
        <v>0</v>
      </c>
    </row>
    <row r="15" spans="1:3" ht="36" customHeight="1" x14ac:dyDescent="0.25">
      <c r="A15" s="574">
        <v>13</v>
      </c>
      <c r="B15" s="577" t="s">
        <v>323</v>
      </c>
      <c r="C15" s="854">
        <f>'General Electrical'!H30</f>
        <v>0</v>
      </c>
    </row>
    <row r="16" spans="1:3" ht="36" customHeight="1" x14ac:dyDescent="0.25">
      <c r="A16" s="574">
        <v>14</v>
      </c>
      <c r="B16" s="577" t="s">
        <v>324</v>
      </c>
      <c r="C16" s="854">
        <f>'Outdoor Equipment'!H31</f>
        <v>0</v>
      </c>
    </row>
    <row r="17" spans="1:4" ht="36" customHeight="1" x14ac:dyDescent="0.25">
      <c r="A17" s="574">
        <v>15</v>
      </c>
      <c r="B17" s="577" t="s">
        <v>747</v>
      </c>
      <c r="C17" s="854">
        <f>'MV Cable Work'!H73</f>
        <v>0</v>
      </c>
    </row>
    <row r="18" spans="1:4" ht="36" customHeight="1" x14ac:dyDescent="0.25">
      <c r="A18" s="574">
        <v>16</v>
      </c>
      <c r="B18" s="577" t="s">
        <v>564</v>
      </c>
      <c r="C18" s="854">
        <f>'Conductor Stringing'!H20</f>
        <v>0</v>
      </c>
    </row>
    <row r="19" spans="1:4" ht="36" customHeight="1" x14ac:dyDescent="0.25">
      <c r="A19" s="574">
        <v>17</v>
      </c>
      <c r="B19" s="577" t="s">
        <v>761</v>
      </c>
      <c r="C19" s="854" cm="1">
        <f t="array" ref="C19">'Install Clamps'!H42:H42</f>
        <v>0</v>
      </c>
    </row>
    <row r="20" spans="1:4" ht="36" customHeight="1" x14ac:dyDescent="0.25">
      <c r="A20" s="579">
        <v>18</v>
      </c>
      <c r="B20" s="577" t="s">
        <v>326</v>
      </c>
      <c r="C20" s="854">
        <f>'Commissioning '!H30</f>
        <v>0</v>
      </c>
    </row>
    <row r="21" spans="1:4" ht="13.8" x14ac:dyDescent="0.25">
      <c r="A21" s="579"/>
      <c r="B21" s="577"/>
      <c r="C21" s="854"/>
    </row>
    <row r="22" spans="1:4" ht="13.8" x14ac:dyDescent="0.25">
      <c r="A22" s="579">
        <v>19</v>
      </c>
      <c r="B22" s="577" t="s">
        <v>1110</v>
      </c>
      <c r="C22" s="854">
        <f>'Access Road'!G37</f>
        <v>0</v>
      </c>
    </row>
    <row r="23" spans="1:4" ht="31.5" customHeight="1" x14ac:dyDescent="0.25">
      <c r="A23" s="579"/>
      <c r="B23" s="580" t="s">
        <v>573</v>
      </c>
      <c r="C23" s="855">
        <f>SUM(C3:C22)</f>
        <v>0</v>
      </c>
      <c r="D23" s="582"/>
    </row>
    <row r="24" spans="1:4" ht="13.8" x14ac:dyDescent="0.25">
      <c r="A24" s="579"/>
      <c r="B24" s="580"/>
      <c r="C24" s="855"/>
      <c r="D24" s="582"/>
    </row>
    <row r="25" spans="1:4" ht="13.95" customHeight="1" x14ac:dyDescent="0.25">
      <c r="A25" s="583"/>
      <c r="B25" s="584" t="s">
        <v>984</v>
      </c>
      <c r="C25" s="856">
        <f>C23*0.05</f>
        <v>0</v>
      </c>
    </row>
    <row r="26" spans="1:4" ht="13.95" customHeight="1" x14ac:dyDescent="0.25">
      <c r="A26" s="583"/>
      <c r="B26" s="584"/>
      <c r="C26" s="856"/>
    </row>
    <row r="27" spans="1:4" ht="13.95" customHeight="1" x14ac:dyDescent="0.25">
      <c r="A27" s="583"/>
      <c r="B27" s="584"/>
      <c r="C27" s="752"/>
    </row>
    <row r="28" spans="1:4" ht="13.95" customHeight="1" x14ac:dyDescent="0.25">
      <c r="A28" s="579"/>
      <c r="B28" s="580" t="s">
        <v>576</v>
      </c>
      <c r="C28" s="855">
        <f>SUM(C23:C26)</f>
        <v>0</v>
      </c>
    </row>
    <row r="29" spans="1:4" ht="13.95" customHeight="1" x14ac:dyDescent="0.25">
      <c r="A29" s="579"/>
      <c r="B29" s="580"/>
      <c r="C29" s="855"/>
    </row>
    <row r="30" spans="1:4" ht="13.95" customHeight="1" thickBot="1" x14ac:dyDescent="0.3">
      <c r="A30" s="579"/>
      <c r="B30" s="586" t="s">
        <v>577</v>
      </c>
      <c r="C30" s="856">
        <f>C28*0.15</f>
        <v>0</v>
      </c>
    </row>
    <row r="31" spans="1:4" ht="40.049999999999997" customHeight="1" thickBot="1" x14ac:dyDescent="0.3">
      <c r="A31" s="587"/>
      <c r="B31" s="588" t="s">
        <v>989</v>
      </c>
      <c r="C31" s="857">
        <f>C30+C28</f>
        <v>0</v>
      </c>
    </row>
    <row r="32" spans="1:4" x14ac:dyDescent="0.25">
      <c r="C32" s="591"/>
    </row>
    <row r="33" spans="3:3" x14ac:dyDescent="0.25">
      <c r="C33" s="572"/>
    </row>
    <row r="34" spans="3:3" x14ac:dyDescent="0.25">
      <c r="C34" s="572"/>
    </row>
    <row r="35" spans="3:3" x14ac:dyDescent="0.25">
      <c r="C35" s="572"/>
    </row>
    <row r="36" spans="3:3" x14ac:dyDescent="0.25">
      <c r="C36" s="572"/>
    </row>
    <row r="37" spans="3:3" x14ac:dyDescent="0.25">
      <c r="C37" s="572"/>
    </row>
    <row r="38" spans="3:3" x14ac:dyDescent="0.25">
      <c r="C38" s="572"/>
    </row>
    <row r="39" spans="3:3" x14ac:dyDescent="0.25">
      <c r="C39" s="572"/>
    </row>
    <row r="40" spans="3:3" x14ac:dyDescent="0.25">
      <c r="C40" s="572"/>
    </row>
    <row r="41" spans="3:3" x14ac:dyDescent="0.25">
      <c r="C41" s="572"/>
    </row>
    <row r="42" spans="3:3" x14ac:dyDescent="0.25">
      <c r="C42" s="572"/>
    </row>
    <row r="43" spans="3:3" x14ac:dyDescent="0.25">
      <c r="C43" s="572"/>
    </row>
    <row r="44" spans="3:3" x14ac:dyDescent="0.25">
      <c r="C44" s="572"/>
    </row>
    <row r="45" spans="3:3" x14ac:dyDescent="0.25">
      <c r="C45" s="572"/>
    </row>
    <row r="46" spans="3:3" x14ac:dyDescent="0.25">
      <c r="C46" s="572"/>
    </row>
    <row r="47" spans="3:3" x14ac:dyDescent="0.25">
      <c r="C47" s="572"/>
    </row>
    <row r="48" spans="3:3" x14ac:dyDescent="0.25">
      <c r="C48" s="572"/>
    </row>
    <row r="49" spans="3:3" x14ac:dyDescent="0.25">
      <c r="C49" s="572"/>
    </row>
    <row r="50" spans="3:3" x14ac:dyDescent="0.25">
      <c r="C50" s="572"/>
    </row>
    <row r="51" spans="3:3" x14ac:dyDescent="0.25">
      <c r="C51" s="572"/>
    </row>
    <row r="52" spans="3:3" x14ac:dyDescent="0.25">
      <c r="C52" s="572"/>
    </row>
    <row r="53" spans="3:3" x14ac:dyDescent="0.25">
      <c r="C53" s="572"/>
    </row>
    <row r="54" spans="3:3" x14ac:dyDescent="0.25">
      <c r="C54" s="572"/>
    </row>
    <row r="55" spans="3:3" x14ac:dyDescent="0.25">
      <c r="C55" s="572"/>
    </row>
    <row r="56" spans="3:3" x14ac:dyDescent="0.25">
      <c r="C56" s="572"/>
    </row>
    <row r="57" spans="3:3" x14ac:dyDescent="0.25">
      <c r="C57" s="572"/>
    </row>
    <row r="58" spans="3:3" x14ac:dyDescent="0.25">
      <c r="C58" s="572"/>
    </row>
    <row r="59" spans="3:3" x14ac:dyDescent="0.25">
      <c r="C59" s="572"/>
    </row>
    <row r="60" spans="3:3" x14ac:dyDescent="0.25">
      <c r="C60" s="572"/>
    </row>
    <row r="61" spans="3:3" x14ac:dyDescent="0.25">
      <c r="C61" s="572"/>
    </row>
    <row r="62" spans="3:3" x14ac:dyDescent="0.25">
      <c r="C62" s="572"/>
    </row>
    <row r="63" spans="3:3" x14ac:dyDescent="0.25">
      <c r="C63" s="572"/>
    </row>
    <row r="64" spans="3:3" x14ac:dyDescent="0.25">
      <c r="C64" s="572"/>
    </row>
    <row r="65" spans="3:3" x14ac:dyDescent="0.25">
      <c r="C65" s="572"/>
    </row>
    <row r="66" spans="3:3" x14ac:dyDescent="0.25">
      <c r="C66" s="572"/>
    </row>
    <row r="67" spans="3:3" x14ac:dyDescent="0.25">
      <c r="C67" s="572"/>
    </row>
    <row r="68" spans="3:3" x14ac:dyDescent="0.25">
      <c r="C68" s="572"/>
    </row>
    <row r="69" spans="3:3" x14ac:dyDescent="0.25">
      <c r="C69" s="572"/>
    </row>
    <row r="70" spans="3:3" x14ac:dyDescent="0.25">
      <c r="C70" s="572"/>
    </row>
    <row r="71" spans="3:3" x14ac:dyDescent="0.25">
      <c r="C71" s="572"/>
    </row>
    <row r="72" spans="3:3" x14ac:dyDescent="0.25">
      <c r="C72" s="572"/>
    </row>
    <row r="73" spans="3:3" x14ac:dyDescent="0.25">
      <c r="C73" s="572"/>
    </row>
    <row r="74" spans="3:3" x14ac:dyDescent="0.25">
      <c r="C74" s="572"/>
    </row>
    <row r="75" spans="3:3" x14ac:dyDescent="0.25">
      <c r="C75" s="572"/>
    </row>
    <row r="76" spans="3:3" x14ac:dyDescent="0.25">
      <c r="C76" s="572"/>
    </row>
    <row r="77" spans="3:3" x14ac:dyDescent="0.25">
      <c r="C77" s="572"/>
    </row>
    <row r="78" spans="3:3" x14ac:dyDescent="0.25">
      <c r="C78" s="572"/>
    </row>
    <row r="79" spans="3:3" x14ac:dyDescent="0.25">
      <c r="C79" s="572"/>
    </row>
    <row r="80" spans="3:3" x14ac:dyDescent="0.25">
      <c r="C80" s="572"/>
    </row>
    <row r="81" spans="3:3" x14ac:dyDescent="0.25">
      <c r="C81" s="572"/>
    </row>
    <row r="82" spans="3:3" x14ac:dyDescent="0.25">
      <c r="C82" s="572"/>
    </row>
    <row r="83" spans="3:3" x14ac:dyDescent="0.25">
      <c r="C83" s="572"/>
    </row>
    <row r="84" spans="3:3" x14ac:dyDescent="0.25">
      <c r="C84" s="572"/>
    </row>
    <row r="85" spans="3:3" x14ac:dyDescent="0.25">
      <c r="C85" s="572"/>
    </row>
    <row r="86" spans="3:3" x14ac:dyDescent="0.25">
      <c r="C86" s="572"/>
    </row>
    <row r="87" spans="3:3" x14ac:dyDescent="0.25">
      <c r="C87" s="572"/>
    </row>
    <row r="88" spans="3:3" x14ac:dyDescent="0.25">
      <c r="C88" s="572"/>
    </row>
    <row r="89" spans="3:3" x14ac:dyDescent="0.25">
      <c r="C89" s="572"/>
    </row>
    <row r="90" spans="3:3" x14ac:dyDescent="0.25">
      <c r="C90" s="572"/>
    </row>
    <row r="91" spans="3:3" x14ac:dyDescent="0.25">
      <c r="C91" s="572"/>
    </row>
    <row r="92" spans="3:3" x14ac:dyDescent="0.25">
      <c r="C92" s="572"/>
    </row>
    <row r="93" spans="3:3" x14ac:dyDescent="0.25">
      <c r="C93" s="572"/>
    </row>
    <row r="94" spans="3:3" x14ac:dyDescent="0.25">
      <c r="C94" s="572"/>
    </row>
    <row r="95" spans="3:3" x14ac:dyDescent="0.25">
      <c r="C95" s="572"/>
    </row>
    <row r="96" spans="3:3" x14ac:dyDescent="0.25">
      <c r="C96" s="572"/>
    </row>
    <row r="97" spans="3:3" x14ac:dyDescent="0.25">
      <c r="C97" s="572"/>
    </row>
    <row r="98" spans="3:3" x14ac:dyDescent="0.25">
      <c r="C98" s="572"/>
    </row>
    <row r="99" spans="3:3" x14ac:dyDescent="0.25">
      <c r="C99" s="572"/>
    </row>
    <row r="100" spans="3:3" x14ac:dyDescent="0.25">
      <c r="C100" s="572"/>
    </row>
    <row r="101" spans="3:3" x14ac:dyDescent="0.25">
      <c r="C101" s="572"/>
    </row>
    <row r="102" spans="3:3" x14ac:dyDescent="0.25">
      <c r="C102" s="572"/>
    </row>
    <row r="103" spans="3:3" x14ac:dyDescent="0.25">
      <c r="C103" s="572"/>
    </row>
    <row r="104" spans="3:3" x14ac:dyDescent="0.25">
      <c r="C104" s="572"/>
    </row>
    <row r="105" spans="3:3" x14ac:dyDescent="0.25">
      <c r="C105" s="572"/>
    </row>
    <row r="106" spans="3:3" x14ac:dyDescent="0.25">
      <c r="C106" s="572"/>
    </row>
    <row r="107" spans="3:3" x14ac:dyDescent="0.25">
      <c r="C107" s="572"/>
    </row>
    <row r="108" spans="3:3" x14ac:dyDescent="0.25">
      <c r="C108" s="572"/>
    </row>
    <row r="109" spans="3:3" x14ac:dyDescent="0.25">
      <c r="C109" s="572"/>
    </row>
    <row r="110" spans="3:3" x14ac:dyDescent="0.25">
      <c r="C110" s="572"/>
    </row>
  </sheetData>
  <mergeCells count="1">
    <mergeCell ref="A1:C1"/>
  </mergeCells>
  <pageMargins left="0.70866141732283472" right="0.70866141732283472" top="0.74803149606299213" bottom="0.74803149606299213" header="0.31496062992125984" footer="0.31496062992125984"/>
  <pageSetup paperSize="9" scale="7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14"/>
  <sheetViews>
    <sheetView view="pageBreakPreview" topLeftCell="A14" zoomScaleNormal="100" zoomScaleSheetLayoutView="100" workbookViewId="0">
      <selection activeCell="F20" sqref="F20"/>
    </sheetView>
  </sheetViews>
  <sheetFormatPr defaultColWidth="9.109375" defaultRowHeight="13.2" x14ac:dyDescent="0.25"/>
  <cols>
    <col min="1" max="1" width="19" style="572" customWidth="1"/>
    <col min="2" max="2" width="53.5546875" style="590" customWidth="1"/>
    <col min="3" max="3" width="44.77734375" style="592" customWidth="1"/>
    <col min="4" max="4" width="13.21875" style="572" customWidth="1"/>
    <col min="5" max="28" width="11.6640625" style="572" customWidth="1"/>
    <col min="29" max="16384" width="9.109375" style="572"/>
  </cols>
  <sheetData>
    <row r="1" spans="1:3" ht="31.95" customHeight="1" thickBot="1" x14ac:dyDescent="0.3">
      <c r="A1" s="901" t="s">
        <v>568</v>
      </c>
      <c r="B1" s="902"/>
      <c r="C1" s="903"/>
    </row>
    <row r="2" spans="1:3" ht="31.95" customHeight="1" thickBot="1" x14ac:dyDescent="0.3">
      <c r="A2" s="571" t="s">
        <v>569</v>
      </c>
      <c r="B2" s="571" t="s">
        <v>570</v>
      </c>
      <c r="C2" s="573" t="s">
        <v>571</v>
      </c>
    </row>
    <row r="3" spans="1:3" ht="36" customHeight="1" x14ac:dyDescent="0.25">
      <c r="A3" s="574">
        <v>1</v>
      </c>
      <c r="B3" s="575" t="s">
        <v>572</v>
      </c>
      <c r="C3" s="576">
        <f>Preliminaries!H70</f>
        <v>0</v>
      </c>
    </row>
    <row r="4" spans="1:3" ht="36" customHeight="1" x14ac:dyDescent="0.25">
      <c r="A4" s="574">
        <v>2</v>
      </c>
      <c r="B4" s="577" t="s">
        <v>314</v>
      </c>
      <c r="C4" s="576">
        <f>'Site Clearance Old'!G13</f>
        <v>942750</v>
      </c>
    </row>
    <row r="5" spans="1:3" ht="36" customHeight="1" x14ac:dyDescent="0.25">
      <c r="A5" s="574">
        <v>3</v>
      </c>
      <c r="B5" s="577" t="s">
        <v>315</v>
      </c>
      <c r="C5" s="576">
        <f>'Earthworks OLD'!G18</f>
        <v>8022034</v>
      </c>
    </row>
    <row r="6" spans="1:3" ht="36" customHeight="1" x14ac:dyDescent="0.25">
      <c r="A6" s="574">
        <v>4</v>
      </c>
      <c r="B6" s="577" t="s">
        <v>316</v>
      </c>
      <c r="C6" s="576">
        <f>'Excavation &amp; Control Trench old'!G17</f>
        <v>576562</v>
      </c>
    </row>
    <row r="7" spans="1:3" ht="36" customHeight="1" x14ac:dyDescent="0.25">
      <c r="A7" s="574">
        <v>5</v>
      </c>
      <c r="B7" s="577" t="s">
        <v>317</v>
      </c>
      <c r="C7" s="576">
        <f>Concrete!I23</f>
        <v>0</v>
      </c>
    </row>
    <row r="8" spans="1:3" ht="36" customHeight="1" x14ac:dyDescent="0.25">
      <c r="A8" s="574">
        <v>6</v>
      </c>
      <c r="B8" s="577" t="s">
        <v>318</v>
      </c>
      <c r="C8" s="576">
        <f>'Structural Steel Work'!H34</f>
        <v>0</v>
      </c>
    </row>
    <row r="9" spans="1:3" ht="36" customHeight="1" x14ac:dyDescent="0.25">
      <c r="A9" s="574">
        <v>7</v>
      </c>
      <c r="B9" s="577" t="s">
        <v>319</v>
      </c>
      <c r="C9" s="576">
        <f>'Cable Duct'!H19</f>
        <v>0</v>
      </c>
    </row>
    <row r="10" spans="1:3" ht="36" customHeight="1" x14ac:dyDescent="0.25">
      <c r="A10" s="574">
        <v>8</v>
      </c>
      <c r="B10" s="577" t="s">
        <v>333</v>
      </c>
      <c r="C10" s="576">
        <f>'Storm Water Drainage OLD'!H33</f>
        <v>3414253</v>
      </c>
    </row>
    <row r="11" spans="1:3" ht="36" customHeight="1" x14ac:dyDescent="0.25">
      <c r="A11" s="574">
        <v>9</v>
      </c>
      <c r="B11" s="577" t="s">
        <v>86</v>
      </c>
      <c r="C11" s="576">
        <f>Facilities!H15</f>
        <v>0</v>
      </c>
    </row>
    <row r="12" spans="1:3" ht="36" customHeight="1" x14ac:dyDescent="0.25">
      <c r="A12" s="574">
        <v>10</v>
      </c>
      <c r="B12" s="577" t="s">
        <v>320</v>
      </c>
      <c r="C12" s="576">
        <f>'Substation Fencing'!H41</f>
        <v>0</v>
      </c>
    </row>
    <row r="13" spans="1:3" ht="36" customHeight="1" x14ac:dyDescent="0.25">
      <c r="A13" s="574">
        <v>11</v>
      </c>
      <c r="B13" s="577" t="s">
        <v>321</v>
      </c>
      <c r="C13" s="576">
        <f>'Installation of Earth Grid'!H21</f>
        <v>0</v>
      </c>
    </row>
    <row r="14" spans="1:3" ht="36" customHeight="1" x14ac:dyDescent="0.25">
      <c r="A14" s="574">
        <v>12</v>
      </c>
      <c r="B14" s="577" t="s">
        <v>322</v>
      </c>
      <c r="C14" s="578">
        <f>'MV Metal Clad Sw Gear'!H48</f>
        <v>0</v>
      </c>
    </row>
    <row r="15" spans="1:3" ht="36" customHeight="1" x14ac:dyDescent="0.25">
      <c r="A15" s="574">
        <v>13</v>
      </c>
      <c r="B15" s="577" t="s">
        <v>323</v>
      </c>
      <c r="C15" s="578">
        <f>'General Electrical'!H30</f>
        <v>0</v>
      </c>
    </row>
    <row r="16" spans="1:3" ht="36" customHeight="1" x14ac:dyDescent="0.25">
      <c r="A16" s="574">
        <v>14</v>
      </c>
      <c r="B16" s="577" t="s">
        <v>324</v>
      </c>
      <c r="C16" s="578">
        <f>'Outdoor Equipment'!H31</f>
        <v>0</v>
      </c>
    </row>
    <row r="17" spans="1:5" ht="36" customHeight="1" x14ac:dyDescent="0.25">
      <c r="A17" s="574">
        <v>15</v>
      </c>
      <c r="B17" s="577" t="s">
        <v>747</v>
      </c>
      <c r="C17" s="578">
        <f>'MV Cable Work'!H73</f>
        <v>0</v>
      </c>
    </row>
    <row r="18" spans="1:5" ht="36" customHeight="1" x14ac:dyDescent="0.25">
      <c r="A18" s="574">
        <v>16</v>
      </c>
      <c r="B18" s="577" t="s">
        <v>564</v>
      </c>
      <c r="C18" s="578">
        <f>'Conductor Stringing'!H20</f>
        <v>0</v>
      </c>
    </row>
    <row r="19" spans="1:5" ht="36" customHeight="1" x14ac:dyDescent="0.25">
      <c r="A19" s="574">
        <v>17</v>
      </c>
      <c r="B19" s="577" t="s">
        <v>761</v>
      </c>
      <c r="C19" s="578" cm="1">
        <f t="array" ref="C19">'Install Clamps'!H42:H42</f>
        <v>0</v>
      </c>
    </row>
    <row r="20" spans="1:5" ht="36" customHeight="1" x14ac:dyDescent="0.25">
      <c r="A20" s="579">
        <v>18</v>
      </c>
      <c r="B20" s="577" t="s">
        <v>326</v>
      </c>
      <c r="C20" s="578">
        <f>'Commissioning '!H30</f>
        <v>0</v>
      </c>
    </row>
    <row r="21" spans="1:5" ht="13.8" x14ac:dyDescent="0.25">
      <c r="A21" s="579"/>
      <c r="B21" s="577"/>
      <c r="C21" s="578"/>
    </row>
    <row r="22" spans="1:5" ht="31.5" customHeight="1" x14ac:dyDescent="0.25">
      <c r="A22" s="579"/>
      <c r="B22" s="580" t="s">
        <v>573</v>
      </c>
      <c r="C22" s="581">
        <f>SUM(C3:C20)</f>
        <v>12955599</v>
      </c>
      <c r="D22" s="582"/>
    </row>
    <row r="23" spans="1:5" ht="13.8" x14ac:dyDescent="0.25">
      <c r="A23" s="579"/>
      <c r="B23" s="580"/>
      <c r="C23" s="581"/>
      <c r="D23" s="582"/>
    </row>
    <row r="24" spans="1:5" ht="13.95" customHeight="1" x14ac:dyDescent="0.25">
      <c r="A24" s="583"/>
      <c r="B24" s="584" t="s">
        <v>984</v>
      </c>
      <c r="C24" s="585">
        <f>C22*0.05</f>
        <v>647779.95000000007</v>
      </c>
    </row>
    <row r="25" spans="1:5" ht="13.95" customHeight="1" x14ac:dyDescent="0.25">
      <c r="A25" s="583"/>
      <c r="B25" s="584"/>
      <c r="C25" s="585"/>
    </row>
    <row r="26" spans="1:5" ht="13.95" customHeight="1" x14ac:dyDescent="0.25">
      <c r="A26" s="583"/>
      <c r="B26" s="584" t="s">
        <v>574</v>
      </c>
      <c r="C26" s="603">
        <f>'Fees '!G35</f>
        <v>1081887.3600000001</v>
      </c>
    </row>
    <row r="27" spans="1:5" ht="13.95" customHeight="1" x14ac:dyDescent="0.25">
      <c r="A27" s="583"/>
      <c r="B27" s="584"/>
      <c r="C27" s="584"/>
    </row>
    <row r="28" spans="1:5" ht="13.95" customHeight="1" x14ac:dyDescent="0.25">
      <c r="A28" s="583"/>
      <c r="B28" s="584" t="s">
        <v>575</v>
      </c>
      <c r="C28" s="603">
        <f>'Fees '!G48</f>
        <v>1350000</v>
      </c>
    </row>
    <row r="29" spans="1:5" ht="13.95" customHeight="1" x14ac:dyDescent="0.25">
      <c r="A29" s="583"/>
      <c r="B29" s="584"/>
      <c r="C29" s="603"/>
    </row>
    <row r="30" spans="1:5" ht="13.95" customHeight="1" x14ac:dyDescent="0.25">
      <c r="A30" s="583"/>
      <c r="B30" s="584" t="s">
        <v>1021</v>
      </c>
      <c r="C30" s="603">
        <f>1412398.69</f>
        <v>1412398.69</v>
      </c>
      <c r="D30" s="604">
        <f>C26+C28-C30</f>
        <v>1019488.6700000004</v>
      </c>
      <c r="E30" s="572" t="s">
        <v>1022</v>
      </c>
    </row>
    <row r="31" spans="1:5" ht="13.95" customHeight="1" x14ac:dyDescent="0.25">
      <c r="A31" s="583"/>
      <c r="B31" s="584"/>
      <c r="C31" s="603"/>
    </row>
    <row r="32" spans="1:5" ht="13.95" customHeight="1" x14ac:dyDescent="0.25">
      <c r="A32" s="579"/>
      <c r="B32" s="580" t="s">
        <v>576</v>
      </c>
      <c r="C32" s="581">
        <f>SUM(C22:C28)-C30</f>
        <v>14622867.619999999</v>
      </c>
    </row>
    <row r="33" spans="1:3" ht="13.95" customHeight="1" x14ac:dyDescent="0.25">
      <c r="A33" s="579"/>
      <c r="B33" s="580"/>
      <c r="C33" s="581"/>
    </row>
    <row r="34" spans="1:3" ht="13.95" customHeight="1" thickBot="1" x14ac:dyDescent="0.3">
      <c r="A34" s="579"/>
      <c r="B34" s="586" t="s">
        <v>577</v>
      </c>
      <c r="C34" s="585">
        <f>C32*0.15</f>
        <v>2193430.1429999997</v>
      </c>
    </row>
    <row r="35" spans="1:3" ht="40.049999999999997" customHeight="1" thickBot="1" x14ac:dyDescent="0.3">
      <c r="A35" s="587"/>
      <c r="B35" s="588" t="s">
        <v>989</v>
      </c>
      <c r="C35" s="589">
        <f>C34+C32</f>
        <v>16816297.763</v>
      </c>
    </row>
    <row r="36" spans="1:3" x14ac:dyDescent="0.25">
      <c r="C36" s="591"/>
    </row>
    <row r="37" spans="1:3" x14ac:dyDescent="0.25">
      <c r="C37" s="572"/>
    </row>
    <row r="38" spans="1:3" x14ac:dyDescent="0.25">
      <c r="C38" s="572"/>
    </row>
    <row r="39" spans="1:3" x14ac:dyDescent="0.25">
      <c r="C39" s="572"/>
    </row>
    <row r="40" spans="1:3" x14ac:dyDescent="0.25">
      <c r="C40" s="572"/>
    </row>
    <row r="41" spans="1:3" x14ac:dyDescent="0.25">
      <c r="C41" s="572"/>
    </row>
    <row r="42" spans="1:3" x14ac:dyDescent="0.25">
      <c r="C42" s="572"/>
    </row>
    <row r="43" spans="1:3" x14ac:dyDescent="0.25">
      <c r="C43" s="572"/>
    </row>
    <row r="44" spans="1:3" x14ac:dyDescent="0.25">
      <c r="C44" s="572"/>
    </row>
    <row r="45" spans="1:3" x14ac:dyDescent="0.25">
      <c r="C45" s="572"/>
    </row>
    <row r="46" spans="1:3" x14ac:dyDescent="0.25">
      <c r="C46" s="572"/>
    </row>
    <row r="47" spans="1:3" x14ac:dyDescent="0.25">
      <c r="C47" s="572"/>
    </row>
    <row r="48" spans="1:3" x14ac:dyDescent="0.25">
      <c r="C48" s="572"/>
    </row>
    <row r="49" spans="3:3" x14ac:dyDescent="0.25">
      <c r="C49" s="572"/>
    </row>
    <row r="50" spans="3:3" x14ac:dyDescent="0.25">
      <c r="C50" s="572"/>
    </row>
    <row r="51" spans="3:3" x14ac:dyDescent="0.25">
      <c r="C51" s="572"/>
    </row>
    <row r="52" spans="3:3" x14ac:dyDescent="0.25">
      <c r="C52" s="572"/>
    </row>
    <row r="53" spans="3:3" x14ac:dyDescent="0.25">
      <c r="C53" s="572"/>
    </row>
    <row r="54" spans="3:3" x14ac:dyDescent="0.25">
      <c r="C54" s="572"/>
    </row>
    <row r="55" spans="3:3" x14ac:dyDescent="0.25">
      <c r="C55" s="572"/>
    </row>
    <row r="56" spans="3:3" x14ac:dyDescent="0.25">
      <c r="C56" s="572"/>
    </row>
    <row r="57" spans="3:3" x14ac:dyDescent="0.25">
      <c r="C57" s="572"/>
    </row>
    <row r="58" spans="3:3" x14ac:dyDescent="0.25">
      <c r="C58" s="572"/>
    </row>
    <row r="59" spans="3:3" x14ac:dyDescent="0.25">
      <c r="C59" s="572"/>
    </row>
    <row r="60" spans="3:3" x14ac:dyDescent="0.25">
      <c r="C60" s="572"/>
    </row>
    <row r="61" spans="3:3" x14ac:dyDescent="0.25">
      <c r="C61" s="572"/>
    </row>
    <row r="62" spans="3:3" x14ac:dyDescent="0.25">
      <c r="C62" s="572"/>
    </row>
    <row r="63" spans="3:3" x14ac:dyDescent="0.25">
      <c r="C63" s="572"/>
    </row>
    <row r="64" spans="3:3" x14ac:dyDescent="0.25">
      <c r="C64" s="572"/>
    </row>
    <row r="65" spans="3:3" x14ac:dyDescent="0.25">
      <c r="C65" s="572"/>
    </row>
    <row r="66" spans="3:3" x14ac:dyDescent="0.25">
      <c r="C66" s="572"/>
    </row>
    <row r="67" spans="3:3" x14ac:dyDescent="0.25">
      <c r="C67" s="572"/>
    </row>
    <row r="68" spans="3:3" x14ac:dyDescent="0.25">
      <c r="C68" s="572"/>
    </row>
    <row r="69" spans="3:3" x14ac:dyDescent="0.25">
      <c r="C69" s="572"/>
    </row>
    <row r="70" spans="3:3" x14ac:dyDescent="0.25">
      <c r="C70" s="572"/>
    </row>
    <row r="71" spans="3:3" x14ac:dyDescent="0.25">
      <c r="C71" s="572"/>
    </row>
    <row r="72" spans="3:3" x14ac:dyDescent="0.25">
      <c r="C72" s="572"/>
    </row>
    <row r="73" spans="3:3" x14ac:dyDescent="0.25">
      <c r="C73" s="572"/>
    </row>
    <row r="74" spans="3:3" x14ac:dyDescent="0.25">
      <c r="C74" s="572"/>
    </row>
    <row r="75" spans="3:3" x14ac:dyDescent="0.25">
      <c r="C75" s="572"/>
    </row>
    <row r="76" spans="3:3" x14ac:dyDescent="0.25">
      <c r="C76" s="572"/>
    </row>
    <row r="77" spans="3:3" x14ac:dyDescent="0.25">
      <c r="C77" s="572"/>
    </row>
    <row r="78" spans="3:3" x14ac:dyDescent="0.25">
      <c r="C78" s="572"/>
    </row>
    <row r="79" spans="3:3" x14ac:dyDescent="0.25">
      <c r="C79" s="572"/>
    </row>
    <row r="80" spans="3:3" x14ac:dyDescent="0.25">
      <c r="C80" s="572"/>
    </row>
    <row r="81" spans="3:3" x14ac:dyDescent="0.25">
      <c r="C81" s="572"/>
    </row>
    <row r="82" spans="3:3" x14ac:dyDescent="0.25">
      <c r="C82" s="572"/>
    </row>
    <row r="83" spans="3:3" x14ac:dyDescent="0.25">
      <c r="C83" s="572"/>
    </row>
    <row r="84" spans="3:3" x14ac:dyDescent="0.25">
      <c r="C84" s="572"/>
    </row>
    <row r="85" spans="3:3" x14ac:dyDescent="0.25">
      <c r="C85" s="572"/>
    </row>
    <row r="86" spans="3:3" x14ac:dyDescent="0.25">
      <c r="C86" s="572"/>
    </row>
    <row r="87" spans="3:3" x14ac:dyDescent="0.25">
      <c r="C87" s="572"/>
    </row>
    <row r="88" spans="3:3" x14ac:dyDescent="0.25">
      <c r="C88" s="572"/>
    </row>
    <row r="89" spans="3:3" x14ac:dyDescent="0.25">
      <c r="C89" s="572"/>
    </row>
    <row r="90" spans="3:3" x14ac:dyDescent="0.25">
      <c r="C90" s="572"/>
    </row>
    <row r="91" spans="3:3" x14ac:dyDescent="0.25">
      <c r="C91" s="572"/>
    </row>
    <row r="92" spans="3:3" x14ac:dyDescent="0.25">
      <c r="C92" s="572"/>
    </row>
    <row r="93" spans="3:3" x14ac:dyDescent="0.25">
      <c r="C93" s="572"/>
    </row>
    <row r="94" spans="3:3" x14ac:dyDescent="0.25">
      <c r="C94" s="572"/>
    </row>
    <row r="95" spans="3:3" x14ac:dyDescent="0.25">
      <c r="C95" s="572"/>
    </row>
    <row r="96" spans="3:3" x14ac:dyDescent="0.25">
      <c r="C96" s="572"/>
    </row>
    <row r="97" spans="3:3" x14ac:dyDescent="0.25">
      <c r="C97" s="572"/>
    </row>
    <row r="98" spans="3:3" x14ac:dyDescent="0.25">
      <c r="C98" s="572"/>
    </row>
    <row r="99" spans="3:3" x14ac:dyDescent="0.25">
      <c r="C99" s="572"/>
    </row>
    <row r="100" spans="3:3" x14ac:dyDescent="0.25">
      <c r="C100" s="572"/>
    </row>
    <row r="101" spans="3:3" x14ac:dyDescent="0.25">
      <c r="C101" s="572"/>
    </row>
    <row r="102" spans="3:3" x14ac:dyDescent="0.25">
      <c r="C102" s="572"/>
    </row>
    <row r="103" spans="3:3" x14ac:dyDescent="0.25">
      <c r="C103" s="572"/>
    </row>
    <row r="104" spans="3:3" x14ac:dyDescent="0.25">
      <c r="C104" s="572"/>
    </row>
    <row r="105" spans="3:3" x14ac:dyDescent="0.25">
      <c r="C105" s="572"/>
    </row>
    <row r="106" spans="3:3" x14ac:dyDescent="0.25">
      <c r="C106" s="572"/>
    </row>
    <row r="107" spans="3:3" x14ac:dyDescent="0.25">
      <c r="C107" s="572"/>
    </row>
    <row r="108" spans="3:3" x14ac:dyDescent="0.25">
      <c r="C108" s="572"/>
    </row>
    <row r="109" spans="3:3" x14ac:dyDescent="0.25">
      <c r="C109" s="572"/>
    </row>
    <row r="110" spans="3:3" x14ac:dyDescent="0.25">
      <c r="C110" s="572"/>
    </row>
    <row r="111" spans="3:3" x14ac:dyDescent="0.25">
      <c r="C111" s="572"/>
    </row>
    <row r="112" spans="3:3" x14ac:dyDescent="0.25">
      <c r="C112" s="572"/>
    </row>
    <row r="113" spans="3:3" x14ac:dyDescent="0.25">
      <c r="C113" s="572"/>
    </row>
    <row r="114" spans="3:3" x14ac:dyDescent="0.25">
      <c r="C114" s="572"/>
    </row>
  </sheetData>
  <mergeCells count="1">
    <mergeCell ref="A1:C1"/>
  </mergeCells>
  <pageMargins left="0.70866141732283472" right="0.70866141732283472" top="0.74803149606299213" bottom="0.74803149606299213" header="0.31496062992125984" footer="0.31496062992125984"/>
  <pageSetup paperSize="9" scale="74" fitToHeight="0" orientation="portrait" r:id="rId1"/>
  <ignoredErrors>
    <ignoredError sqref="C4 C7 C6 C5 C9 C10 C11 C13 C8"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6"/>
  <sheetViews>
    <sheetView view="pageBreakPreview" zoomScale="70" zoomScaleNormal="100" zoomScaleSheetLayoutView="70" workbookViewId="0">
      <selection activeCell="A12" sqref="A12:F20"/>
    </sheetView>
  </sheetViews>
  <sheetFormatPr defaultRowHeight="14.4" x14ac:dyDescent="0.3"/>
  <cols>
    <col min="3" max="3" width="7.44140625" hidden="1" customWidth="1"/>
    <col min="4" max="5" width="9.109375" customWidth="1"/>
    <col min="7" max="7" width="18.5546875" style="121" customWidth="1"/>
    <col min="10" max="10" width="14.44140625" style="141" bestFit="1" customWidth="1"/>
  </cols>
  <sheetData>
    <row r="1" spans="1:8" ht="15" thickBot="1" x14ac:dyDescent="0.35"/>
    <row r="2" spans="1:8" ht="15" thickBot="1" x14ac:dyDescent="0.35">
      <c r="A2" s="140"/>
      <c r="B2" s="906" t="s">
        <v>313</v>
      </c>
      <c r="C2" s="907"/>
      <c r="D2" s="907"/>
      <c r="E2" s="907"/>
      <c r="F2" s="908"/>
      <c r="G2" s="202" t="s">
        <v>312</v>
      </c>
    </row>
    <row r="3" spans="1:8" ht="15" thickBot="1" x14ac:dyDescent="0.35">
      <c r="A3" s="203">
        <v>1</v>
      </c>
      <c r="B3" s="904" t="s">
        <v>311</v>
      </c>
      <c r="C3" s="905"/>
      <c r="D3" s="905"/>
      <c r="E3" s="905"/>
      <c r="F3" s="905"/>
      <c r="G3" s="204">
        <f>Preliminaries!H70</f>
        <v>0</v>
      </c>
      <c r="H3" s="205" t="e">
        <f>G3/G22</f>
        <v>#REF!</v>
      </c>
    </row>
    <row r="4" spans="1:8" ht="15" thickBot="1" x14ac:dyDescent="0.35">
      <c r="A4" s="203">
        <v>2</v>
      </c>
      <c r="B4" s="904" t="s">
        <v>314</v>
      </c>
      <c r="C4" s="905"/>
      <c r="D4" s="905"/>
      <c r="E4" s="905"/>
      <c r="F4" s="905"/>
      <c r="G4" s="204">
        <f>'Site Clearance Old'!G13</f>
        <v>942750</v>
      </c>
    </row>
    <row r="5" spans="1:8" ht="15" thickBot="1" x14ac:dyDescent="0.35">
      <c r="A5" s="203">
        <v>3</v>
      </c>
      <c r="B5" s="904" t="s">
        <v>315</v>
      </c>
      <c r="C5" s="905"/>
      <c r="D5" s="905"/>
      <c r="E5" s="905"/>
      <c r="F5" s="905"/>
      <c r="G5" s="204">
        <f>'Earthworks OLD'!G18</f>
        <v>8022034</v>
      </c>
    </row>
    <row r="6" spans="1:8" ht="15" thickBot="1" x14ac:dyDescent="0.35">
      <c r="A6" s="203">
        <v>4</v>
      </c>
      <c r="B6" s="904" t="s">
        <v>316</v>
      </c>
      <c r="C6" s="905"/>
      <c r="D6" s="905"/>
      <c r="E6" s="905"/>
      <c r="F6" s="905"/>
      <c r="G6" s="204">
        <f>'Excavation &amp; Control Trench old'!G17</f>
        <v>576562</v>
      </c>
    </row>
    <row r="7" spans="1:8" ht="15" thickBot="1" x14ac:dyDescent="0.35">
      <c r="A7" s="203">
        <v>5</v>
      </c>
      <c r="B7" s="904" t="s">
        <v>317</v>
      </c>
      <c r="C7" s="904"/>
      <c r="D7" s="904"/>
      <c r="E7" s="904"/>
      <c r="F7" s="904"/>
      <c r="G7" s="204">
        <f>Concrete!I23</f>
        <v>0</v>
      </c>
    </row>
    <row r="8" spans="1:8" ht="15" thickBot="1" x14ac:dyDescent="0.35">
      <c r="A8" s="203">
        <v>6</v>
      </c>
      <c r="B8" s="904" t="s">
        <v>318</v>
      </c>
      <c r="C8" s="904"/>
      <c r="D8" s="904"/>
      <c r="E8" s="904"/>
      <c r="F8" s="904"/>
      <c r="G8" s="204">
        <f>'Structural Steel Work'!H34</f>
        <v>0</v>
      </c>
    </row>
    <row r="9" spans="1:8" ht="15" thickBot="1" x14ac:dyDescent="0.35">
      <c r="A9" s="203">
        <v>7</v>
      </c>
      <c r="B9" s="904" t="s">
        <v>319</v>
      </c>
      <c r="C9" s="904"/>
      <c r="D9" s="904"/>
      <c r="E9" s="904"/>
      <c r="F9" s="904"/>
      <c r="G9" s="204">
        <f>'Cable Duct'!H19</f>
        <v>0</v>
      </c>
    </row>
    <row r="10" spans="1:8" ht="15" thickBot="1" x14ac:dyDescent="0.35">
      <c r="A10" s="203">
        <v>8</v>
      </c>
      <c r="B10" s="904" t="s">
        <v>333</v>
      </c>
      <c r="C10" s="904"/>
      <c r="D10" s="904"/>
      <c r="E10" s="904"/>
      <c r="F10" s="904"/>
      <c r="G10" s="204">
        <f>'Storm Water Drainage OLD'!H33</f>
        <v>3414253</v>
      </c>
    </row>
    <row r="11" spans="1:8" ht="15" thickBot="1" x14ac:dyDescent="0.35">
      <c r="A11" s="203">
        <v>9</v>
      </c>
      <c r="B11" s="904" t="s">
        <v>86</v>
      </c>
      <c r="C11" s="904"/>
      <c r="D11" s="904"/>
      <c r="E11" s="904"/>
      <c r="F11" s="904"/>
      <c r="G11" s="204">
        <f>Facilities!H15</f>
        <v>0</v>
      </c>
    </row>
    <row r="12" spans="1:8" ht="15" thickBot="1" x14ac:dyDescent="0.35">
      <c r="A12" s="203">
        <v>10</v>
      </c>
      <c r="B12" s="904" t="s">
        <v>320</v>
      </c>
      <c r="C12" s="904"/>
      <c r="D12" s="904"/>
      <c r="E12" s="904"/>
      <c r="F12" s="904"/>
      <c r="G12" s="204">
        <f>'Substation Fencing'!H41</f>
        <v>0</v>
      </c>
    </row>
    <row r="13" spans="1:8" ht="15" thickBot="1" x14ac:dyDescent="0.35">
      <c r="A13" s="203">
        <v>11</v>
      </c>
      <c r="B13" s="904" t="s">
        <v>321</v>
      </c>
      <c r="C13" s="904"/>
      <c r="D13" s="904"/>
      <c r="E13" s="904"/>
      <c r="F13" s="904"/>
      <c r="G13" s="204">
        <f>'Installation of Earth Grid'!H21</f>
        <v>0</v>
      </c>
    </row>
    <row r="14" spans="1:8" ht="15" thickBot="1" x14ac:dyDescent="0.35">
      <c r="A14" s="203">
        <v>12</v>
      </c>
      <c r="B14" s="904" t="s">
        <v>322</v>
      </c>
      <c r="C14" s="904"/>
      <c r="D14" s="904"/>
      <c r="E14" s="904"/>
      <c r="F14" s="904"/>
      <c r="G14" s="204">
        <f>'MV Metal Clad Sw Gear'!H48</f>
        <v>0</v>
      </c>
    </row>
    <row r="15" spans="1:8" ht="15" thickBot="1" x14ac:dyDescent="0.35">
      <c r="A15" s="203">
        <v>13</v>
      </c>
      <c r="B15" s="904" t="s">
        <v>323</v>
      </c>
      <c r="C15" s="904"/>
      <c r="D15" s="904"/>
      <c r="E15" s="904"/>
      <c r="F15" s="904"/>
      <c r="G15" s="204">
        <f>'General Electrical'!H30</f>
        <v>0</v>
      </c>
    </row>
    <row r="16" spans="1:8" ht="15" thickBot="1" x14ac:dyDescent="0.35">
      <c r="A16" s="203">
        <v>14</v>
      </c>
      <c r="B16" s="904" t="s">
        <v>324</v>
      </c>
      <c r="C16" s="904"/>
      <c r="D16" s="904"/>
      <c r="E16" s="904"/>
      <c r="F16" s="904"/>
      <c r="G16" s="204">
        <f>'Outdoor Equipment'!H31</f>
        <v>0</v>
      </c>
    </row>
    <row r="17" spans="1:7" ht="15" thickBot="1" x14ac:dyDescent="0.35">
      <c r="A17" s="203">
        <v>15</v>
      </c>
      <c r="B17" s="904" t="s">
        <v>325</v>
      </c>
      <c r="C17" s="904"/>
      <c r="D17" s="904"/>
      <c r="E17" s="904"/>
      <c r="F17" s="904"/>
      <c r="G17" s="204">
        <f>'MV Cable Work'!H73</f>
        <v>0</v>
      </c>
    </row>
    <row r="18" spans="1:7" ht="15" thickBot="1" x14ac:dyDescent="0.35">
      <c r="A18" s="203">
        <v>16</v>
      </c>
      <c r="B18" s="871" t="s">
        <v>564</v>
      </c>
      <c r="C18" s="872"/>
      <c r="D18" s="872"/>
      <c r="E18" s="872"/>
      <c r="F18" s="873"/>
      <c r="G18" s="204">
        <f>'Conductor Stringing'!H20</f>
        <v>0</v>
      </c>
    </row>
    <row r="19" spans="1:7" ht="15" thickBot="1" x14ac:dyDescent="0.35">
      <c r="A19" s="203">
        <v>17</v>
      </c>
      <c r="B19" s="904" t="s">
        <v>326</v>
      </c>
      <c r="C19" s="904"/>
      <c r="D19" s="904"/>
      <c r="E19" s="904"/>
      <c r="F19" s="904"/>
      <c r="G19" s="204" t="e">
        <f>#REF!</f>
        <v>#REF!</v>
      </c>
    </row>
    <row r="20" spans="1:7" ht="15" thickBot="1" x14ac:dyDescent="0.35">
      <c r="A20" s="203">
        <v>18</v>
      </c>
      <c r="B20" s="904" t="s">
        <v>327</v>
      </c>
      <c r="C20" s="904"/>
      <c r="D20" s="904"/>
      <c r="E20" s="904"/>
      <c r="F20" s="904"/>
      <c r="G20" s="204" t="e">
        <f t="array" ref="G20">#REF!</f>
        <v>#REF!</v>
      </c>
    </row>
    <row r="21" spans="1:7" ht="15" thickBot="1" x14ac:dyDescent="0.35">
      <c r="B21" s="905"/>
      <c r="C21" s="905"/>
      <c r="D21" s="905"/>
      <c r="E21" s="905"/>
      <c r="F21" s="905"/>
      <c r="G21" s="204"/>
    </row>
    <row r="22" spans="1:7" ht="15" thickBot="1" x14ac:dyDescent="0.35">
      <c r="A22" t="s">
        <v>330</v>
      </c>
      <c r="B22" s="904" t="s">
        <v>328</v>
      </c>
      <c r="C22" s="904"/>
      <c r="D22" s="904"/>
      <c r="E22" s="904"/>
      <c r="F22" s="904"/>
      <c r="G22" s="204" t="e">
        <f>SUM(G3:G21)</f>
        <v>#REF!</v>
      </c>
    </row>
    <row r="23" spans="1:7" ht="15" thickBot="1" x14ac:dyDescent="0.35">
      <c r="A23" t="s">
        <v>331</v>
      </c>
      <c r="B23" s="905" t="s">
        <v>516</v>
      </c>
      <c r="C23" s="905"/>
      <c r="D23" s="905"/>
      <c r="E23" s="905"/>
      <c r="F23" s="905"/>
      <c r="G23" s="204" t="e">
        <f>G22*0.15</f>
        <v>#REF!</v>
      </c>
    </row>
    <row r="24" spans="1:7" ht="15" thickBot="1" x14ac:dyDescent="0.35">
      <c r="A24" t="s">
        <v>332</v>
      </c>
      <c r="B24" s="904" t="s">
        <v>329</v>
      </c>
      <c r="C24" s="904"/>
      <c r="D24" s="904"/>
      <c r="E24" s="904"/>
      <c r="F24" s="904"/>
      <c r="G24" s="204" t="e">
        <f>G22+G23</f>
        <v>#REF!</v>
      </c>
    </row>
    <row r="32" spans="1:7" x14ac:dyDescent="0.3">
      <c r="D32" s="53"/>
      <c r="E32" s="53"/>
      <c r="F32" s="53"/>
      <c r="G32" s="126"/>
    </row>
    <row r="34" spans="1:2" x14ac:dyDescent="0.3">
      <c r="A34" s="97"/>
      <c r="B34" s="97"/>
    </row>
    <row r="51" spans="4:7" x14ac:dyDescent="0.3">
      <c r="D51" s="53"/>
      <c r="E51" s="53"/>
      <c r="F51" s="53"/>
      <c r="G51" s="126"/>
    </row>
    <row r="54" spans="4:7" x14ac:dyDescent="0.3">
      <c r="D54" s="53"/>
      <c r="E54" s="53"/>
      <c r="F54" s="53"/>
      <c r="G54" s="126"/>
    </row>
    <row r="57" spans="4:7" x14ac:dyDescent="0.3">
      <c r="E57" s="53" t="s">
        <v>163</v>
      </c>
      <c r="F57" s="53"/>
      <c r="G57" s="126"/>
    </row>
    <row r="60" spans="4:7" x14ac:dyDescent="0.3">
      <c r="F60" s="53" t="s">
        <v>164</v>
      </c>
      <c r="G60" s="126"/>
    </row>
    <row r="63" spans="4:7" x14ac:dyDescent="0.3">
      <c r="F63" s="53" t="s">
        <v>165</v>
      </c>
      <c r="G63" s="126"/>
    </row>
    <row r="66" spans="2:7" x14ac:dyDescent="0.3">
      <c r="B66" s="53" t="s">
        <v>166</v>
      </c>
      <c r="C66" s="53" t="s">
        <v>166</v>
      </c>
      <c r="D66" s="53"/>
      <c r="E66" s="53"/>
      <c r="F66" s="53"/>
      <c r="G66" s="126"/>
    </row>
  </sheetData>
  <mergeCells count="23">
    <mergeCell ref="B24:F24"/>
    <mergeCell ref="B2:F2"/>
    <mergeCell ref="B17:F17"/>
    <mergeCell ref="B9:F9"/>
    <mergeCell ref="B10:F10"/>
    <mergeCell ref="B11:F11"/>
    <mergeCell ref="B12:F12"/>
    <mergeCell ref="B13:F13"/>
    <mergeCell ref="B14:F14"/>
    <mergeCell ref="B18:F18"/>
    <mergeCell ref="B3:F3"/>
    <mergeCell ref="B4:F4"/>
    <mergeCell ref="B5:F5"/>
    <mergeCell ref="B6:F6"/>
    <mergeCell ref="B22:F22"/>
    <mergeCell ref="B23:F23"/>
    <mergeCell ref="B7:F7"/>
    <mergeCell ref="B8:F8"/>
    <mergeCell ref="B19:F19"/>
    <mergeCell ref="B20:F20"/>
    <mergeCell ref="B21:F21"/>
    <mergeCell ref="B15:F15"/>
    <mergeCell ref="B16:F16"/>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9"/>
  <sheetViews>
    <sheetView view="pageBreakPreview" topLeftCell="A8" zoomScale="85" zoomScaleNormal="100" zoomScaleSheetLayoutView="85" workbookViewId="0">
      <selection activeCell="K31" sqref="K31"/>
    </sheetView>
  </sheetViews>
  <sheetFormatPr defaultColWidth="8.6640625" defaultRowHeight="13.2" x14ac:dyDescent="0.25"/>
  <cols>
    <col min="1" max="1" width="5.6640625" style="257" customWidth="1"/>
    <col min="2" max="2" width="34.44140625" style="257" customWidth="1"/>
    <col min="3" max="3" width="8.6640625" style="257"/>
    <col min="4" max="4" width="11.44140625" style="257" customWidth="1"/>
    <col min="5" max="5" width="32" style="257" customWidth="1"/>
    <col min="6" max="6" width="13.33203125" style="257" customWidth="1"/>
    <col min="7" max="7" width="23" style="257" customWidth="1"/>
    <col min="8" max="8" width="16.5546875" style="257" customWidth="1"/>
    <col min="9" max="9" width="14" style="257" customWidth="1"/>
    <col min="10" max="10" width="8.6640625" style="257"/>
    <col min="11" max="11" width="13.109375" style="257" bestFit="1" customWidth="1"/>
    <col min="12" max="12" width="8.6640625" style="257"/>
    <col min="13" max="13" width="17" style="257" customWidth="1"/>
    <col min="14" max="16384" width="8.6640625" style="257"/>
  </cols>
  <sheetData>
    <row r="1" spans="1:11" ht="15" customHeight="1" x14ac:dyDescent="0.25">
      <c r="A1" s="250"/>
      <c r="B1" s="251"/>
      <c r="C1" s="251"/>
      <c r="D1" s="252" t="s">
        <v>587</v>
      </c>
      <c r="E1" s="251"/>
      <c r="F1" s="253" t="s">
        <v>588</v>
      </c>
      <c r="G1" s="254"/>
      <c r="H1" s="255"/>
      <c r="I1" s="256"/>
    </row>
    <row r="2" spans="1:11" ht="13.95" customHeight="1" x14ac:dyDescent="0.25">
      <c r="A2" s="258"/>
      <c r="B2" s="259"/>
      <c r="C2" s="259"/>
      <c r="D2" s="260" t="s">
        <v>589</v>
      </c>
      <c r="E2" s="259"/>
      <c r="F2" s="261" t="s">
        <v>590</v>
      </c>
      <c r="G2" s="262"/>
      <c r="H2" s="255"/>
      <c r="I2" s="256"/>
    </row>
    <row r="3" spans="1:11" ht="13.95" customHeight="1" x14ac:dyDescent="0.25">
      <c r="A3" s="258"/>
      <c r="B3" s="259"/>
      <c r="C3" s="259"/>
      <c r="D3" s="260" t="s">
        <v>591</v>
      </c>
      <c r="E3" s="263"/>
      <c r="F3" s="909" t="s">
        <v>592</v>
      </c>
      <c r="G3" s="910"/>
      <c r="H3" s="255"/>
      <c r="I3" s="256"/>
    </row>
    <row r="4" spans="1:11" ht="28.2" customHeight="1" x14ac:dyDescent="0.25">
      <c r="A4" s="258"/>
      <c r="B4" s="259"/>
      <c r="C4" s="259"/>
      <c r="D4" s="264" t="s">
        <v>593</v>
      </c>
      <c r="E4" s="263"/>
      <c r="F4" s="911" t="s">
        <v>594</v>
      </c>
      <c r="G4" s="912"/>
      <c r="H4" s="265"/>
      <c r="I4" s="256"/>
    </row>
    <row r="5" spans="1:11" ht="17.25" customHeight="1" thickBot="1" x14ac:dyDescent="0.3">
      <c r="A5" s="266"/>
      <c r="B5" s="267"/>
      <c r="C5" s="268"/>
      <c r="D5" s="268"/>
      <c r="E5" s="269"/>
      <c r="F5" s="269"/>
      <c r="G5" s="270"/>
      <c r="H5" s="255"/>
      <c r="I5" s="256"/>
    </row>
    <row r="6" spans="1:11" ht="19.5" customHeight="1" x14ac:dyDescent="0.3">
      <c r="A6" s="271"/>
      <c r="B6" s="272" t="s">
        <v>595</v>
      </c>
      <c r="C6" s="273"/>
      <c r="D6" s="273"/>
      <c r="E6" s="273"/>
      <c r="F6" s="274"/>
      <c r="G6" s="275"/>
      <c r="H6" s="276"/>
      <c r="I6" s="256"/>
    </row>
    <row r="7" spans="1:11" ht="19.5" customHeight="1" x14ac:dyDescent="0.25">
      <c r="A7" s="277" t="s">
        <v>330</v>
      </c>
      <c r="B7" s="913" t="s">
        <v>596</v>
      </c>
      <c r="C7" s="914"/>
      <c r="D7" s="914"/>
      <c r="E7" s="914"/>
      <c r="F7" s="915"/>
      <c r="G7" s="279">
        <f>'Summary With Fees 2023'!C22</f>
        <v>12955599</v>
      </c>
      <c r="H7" s="280"/>
      <c r="I7" s="256"/>
      <c r="K7" s="281"/>
    </row>
    <row r="8" spans="1:11" ht="19.5" customHeight="1" x14ac:dyDescent="0.3">
      <c r="A8" s="282"/>
      <c r="B8" s="283" t="s">
        <v>597</v>
      </c>
      <c r="C8" s="284"/>
      <c r="D8" s="284"/>
      <c r="E8" s="284"/>
      <c r="F8" s="285"/>
      <c r="G8" s="286" t="s">
        <v>598</v>
      </c>
      <c r="H8" s="287"/>
      <c r="I8" s="256"/>
      <c r="K8" s="288"/>
    </row>
    <row r="9" spans="1:11" ht="18" customHeight="1" x14ac:dyDescent="0.25">
      <c r="A9" s="277" t="s">
        <v>331</v>
      </c>
      <c r="B9" s="913" t="s">
        <v>599</v>
      </c>
      <c r="C9" s="914"/>
      <c r="D9" s="914"/>
      <c r="E9" s="914"/>
      <c r="F9" s="289" t="s">
        <v>600</v>
      </c>
      <c r="G9" s="290"/>
      <c r="H9" s="291"/>
      <c r="I9" s="256"/>
    </row>
    <row r="10" spans="1:11" ht="18" customHeight="1" x14ac:dyDescent="0.25">
      <c r="A10" s="282"/>
      <c r="B10" s="278" t="s">
        <v>601</v>
      </c>
      <c r="C10" s="276"/>
      <c r="D10" s="276"/>
      <c r="E10" s="276"/>
      <c r="F10" s="292">
        <f>VLOOKUP($F$9,[1]Lookup!$B$12:$D$19,2,0)</f>
        <v>9</v>
      </c>
      <c r="G10" s="290"/>
      <c r="H10" s="291"/>
      <c r="I10" s="256"/>
    </row>
    <row r="11" spans="1:11" ht="18" customHeight="1" x14ac:dyDescent="0.25">
      <c r="A11" s="282"/>
      <c r="B11" s="278" t="s">
        <v>602</v>
      </c>
      <c r="C11" s="276"/>
      <c r="D11" s="276"/>
      <c r="E11" s="276"/>
      <c r="F11" s="292">
        <f>VLOOKUP($F$9,[1]Lookup!$B$12:$D$19,3,0)</f>
        <v>11</v>
      </c>
      <c r="G11" s="290"/>
      <c r="H11" s="291"/>
      <c r="I11" s="256"/>
    </row>
    <row r="12" spans="1:11" ht="18" customHeight="1" x14ac:dyDescent="0.25">
      <c r="A12" s="282"/>
      <c r="B12" s="278" t="s">
        <v>603</v>
      </c>
      <c r="C12" s="276"/>
      <c r="D12" s="276"/>
      <c r="E12" s="276"/>
      <c r="F12" s="289" t="s">
        <v>604</v>
      </c>
      <c r="G12" s="290"/>
      <c r="H12" s="291"/>
      <c r="I12" s="256"/>
    </row>
    <row r="13" spans="1:11" ht="18" customHeight="1" x14ac:dyDescent="0.25">
      <c r="A13" s="277" t="s">
        <v>332</v>
      </c>
      <c r="B13" s="916" t="s">
        <v>605</v>
      </c>
      <c r="C13" s="917"/>
      <c r="D13" s="917"/>
      <c r="E13" s="917"/>
      <c r="F13" s="292">
        <f>IF(F12="Less Effort",F10,IF(F12="medium effort",(F10+F11)/2,F11))</f>
        <v>10</v>
      </c>
      <c r="G13" s="290"/>
      <c r="H13" s="291"/>
      <c r="I13" s="256"/>
    </row>
    <row r="14" spans="1:11" ht="25.2" customHeight="1" x14ac:dyDescent="0.25">
      <c r="A14" s="277" t="s">
        <v>600</v>
      </c>
      <c r="B14" s="916" t="s">
        <v>606</v>
      </c>
      <c r="C14" s="917"/>
      <c r="D14" s="917"/>
      <c r="E14" s="917"/>
      <c r="F14" s="292">
        <f>IF(F9="M",F13,IF(G7&lt;11500000,F13-6+41.3747-5.0433*LOG(G7),IF(G7=11500000,F13,IF(G7&gt;11500000,F13+16.3-100*0.023*LOG10(G7)))))</f>
        <v>9.9413477561631787</v>
      </c>
      <c r="G14" s="293">
        <f>F14*G7/100</f>
        <v>1287961.1504839992</v>
      </c>
      <c r="H14" s="294"/>
      <c r="I14" s="256"/>
    </row>
    <row r="15" spans="1:11" ht="19.95" customHeight="1" x14ac:dyDescent="0.25">
      <c r="A15" s="277" t="s">
        <v>607</v>
      </c>
      <c r="B15" s="916" t="s">
        <v>608</v>
      </c>
      <c r="C15" s="917"/>
      <c r="D15" s="917"/>
      <c r="E15" s="917"/>
      <c r="F15" s="292">
        <f>IF(F9="M",F14,IF(F14&gt;4,F14,4))</f>
        <v>9.9413477561631787</v>
      </c>
      <c r="G15" s="295"/>
      <c r="H15" s="296"/>
      <c r="I15" s="256"/>
    </row>
    <row r="16" spans="1:11" ht="17.25" customHeight="1" x14ac:dyDescent="0.25">
      <c r="A16" s="277" t="s">
        <v>609</v>
      </c>
      <c r="B16" s="916" t="s">
        <v>610</v>
      </c>
      <c r="C16" s="917"/>
      <c r="D16" s="917"/>
      <c r="E16" s="917"/>
      <c r="F16" s="297">
        <v>0</v>
      </c>
      <c r="G16" s="295"/>
      <c r="H16" s="296"/>
      <c r="I16" s="256"/>
    </row>
    <row r="17" spans="1:9" ht="18" customHeight="1" x14ac:dyDescent="0.25">
      <c r="A17" s="277" t="s">
        <v>611</v>
      </c>
      <c r="B17" s="913" t="s">
        <v>612</v>
      </c>
      <c r="C17" s="914"/>
      <c r="D17" s="914"/>
      <c r="E17" s="914"/>
      <c r="F17" s="297">
        <v>0</v>
      </c>
      <c r="G17" s="290"/>
      <c r="H17" s="291"/>
      <c r="I17" s="256"/>
    </row>
    <row r="18" spans="1:9" ht="18" customHeight="1" x14ac:dyDescent="0.3">
      <c r="A18" s="282"/>
      <c r="B18" s="918" t="s">
        <v>613</v>
      </c>
      <c r="C18" s="919"/>
      <c r="D18" s="919"/>
      <c r="E18" s="919"/>
      <c r="F18" s="298"/>
      <c r="G18" s="290"/>
      <c r="H18" s="291"/>
      <c r="I18" s="256"/>
    </row>
    <row r="19" spans="1:9" ht="18" customHeight="1" x14ac:dyDescent="0.25">
      <c r="A19" s="282" t="s">
        <v>614</v>
      </c>
      <c r="B19" s="913" t="s">
        <v>615</v>
      </c>
      <c r="C19" s="913"/>
      <c r="D19" s="913"/>
      <c r="E19" s="913"/>
      <c r="F19" s="298"/>
      <c r="G19" s="290">
        <f>G14*F16*0.25</f>
        <v>0</v>
      </c>
      <c r="H19" s="291"/>
      <c r="I19" s="256"/>
    </row>
    <row r="20" spans="1:9" ht="18" customHeight="1" x14ac:dyDescent="0.25">
      <c r="A20" s="277" t="s">
        <v>616</v>
      </c>
      <c r="B20" s="278" t="s">
        <v>617</v>
      </c>
      <c r="C20" s="299"/>
      <c r="D20" s="299"/>
      <c r="E20" s="299"/>
      <c r="F20" s="298"/>
      <c r="G20" s="290">
        <f>-G14*0.6*F17*0.75</f>
        <v>0</v>
      </c>
      <c r="H20" s="291"/>
      <c r="I20" s="256"/>
    </row>
    <row r="21" spans="1:9" ht="18" customHeight="1" x14ac:dyDescent="0.25">
      <c r="A21" s="282"/>
      <c r="B21" s="278" t="s">
        <v>618</v>
      </c>
      <c r="C21" s="299"/>
      <c r="D21" s="299"/>
      <c r="E21" s="299"/>
      <c r="F21" s="298"/>
      <c r="G21" s="293">
        <f>SUM(G14:G20)</f>
        <v>1287961.1504839992</v>
      </c>
      <c r="H21" s="294"/>
      <c r="I21" s="256"/>
    </row>
    <row r="22" spans="1:9" ht="18" customHeight="1" x14ac:dyDescent="0.25">
      <c r="A22" s="282" t="s">
        <v>619</v>
      </c>
      <c r="B22" s="278" t="s">
        <v>620</v>
      </c>
      <c r="C22" s="299"/>
      <c r="D22" s="299"/>
      <c r="E22" s="299"/>
      <c r="F22" s="297">
        <v>0.16</v>
      </c>
      <c r="G22" s="300">
        <f>-G21*F22</f>
        <v>-206073.78407743986</v>
      </c>
      <c r="H22" s="301"/>
      <c r="I22" s="256"/>
    </row>
    <row r="23" spans="1:9" ht="18" customHeight="1" x14ac:dyDescent="0.25">
      <c r="A23" s="302"/>
      <c r="B23" s="926"/>
      <c r="C23" s="926"/>
      <c r="D23" s="926"/>
      <c r="E23" s="926"/>
      <c r="F23" s="927"/>
      <c r="G23" s="303"/>
      <c r="H23" s="304"/>
      <c r="I23" s="256"/>
    </row>
    <row r="24" spans="1:9" ht="13.95" customHeight="1" x14ac:dyDescent="0.25">
      <c r="A24" s="305"/>
      <c r="B24" s="306"/>
      <c r="C24" s="307"/>
      <c r="D24" s="307"/>
      <c r="E24" s="307"/>
      <c r="F24" s="308"/>
      <c r="G24" s="309"/>
      <c r="H24" s="310"/>
      <c r="I24" s="256"/>
    </row>
    <row r="25" spans="1:9" ht="18" customHeight="1" x14ac:dyDescent="0.25">
      <c r="A25" s="311"/>
      <c r="B25" s="312" t="s">
        <v>621</v>
      </c>
      <c r="C25" s="313"/>
      <c r="D25" s="313"/>
      <c r="E25" s="313"/>
      <c r="F25" s="314"/>
      <c r="G25" s="315">
        <f>G21+G22</f>
        <v>1081887.3664065592</v>
      </c>
      <c r="H25" s="316"/>
      <c r="I25" s="317"/>
    </row>
    <row r="26" spans="1:9" ht="15" customHeight="1" thickBot="1" x14ac:dyDescent="0.3">
      <c r="A26" s="318"/>
      <c r="B26" s="319"/>
      <c r="C26" s="320"/>
      <c r="D26" s="320"/>
      <c r="E26" s="320"/>
      <c r="F26" s="321"/>
      <c r="G26" s="322"/>
      <c r="H26" s="323"/>
      <c r="I26" s="256"/>
    </row>
    <row r="27" spans="1:9" ht="26.4" customHeight="1" x14ac:dyDescent="0.3">
      <c r="A27" s="324"/>
      <c r="B27" s="325" t="s">
        <v>622</v>
      </c>
      <c r="C27" s="325" t="s">
        <v>623</v>
      </c>
      <c r="D27" s="325" t="s">
        <v>624</v>
      </c>
      <c r="E27" s="326" t="s">
        <v>625</v>
      </c>
      <c r="F27" s="327" t="s">
        <v>626</v>
      </c>
      <c r="G27" s="328" t="s">
        <v>627</v>
      </c>
      <c r="H27" s="329"/>
      <c r="I27" s="256"/>
    </row>
    <row r="28" spans="1:9" ht="13.95" customHeight="1" x14ac:dyDescent="0.3">
      <c r="A28" s="330"/>
      <c r="B28" s="331" t="s">
        <v>628</v>
      </c>
      <c r="C28" s="331"/>
      <c r="D28" s="331"/>
      <c r="E28" s="332">
        <v>0</v>
      </c>
      <c r="F28" s="332">
        <v>0</v>
      </c>
      <c r="G28" s="333">
        <f>E28-F28</f>
        <v>0</v>
      </c>
      <c r="H28" s="334"/>
      <c r="I28" s="256"/>
    </row>
    <row r="29" spans="1:9" ht="13.95" customHeight="1" x14ac:dyDescent="0.3">
      <c r="A29" s="335" t="s">
        <v>629</v>
      </c>
      <c r="B29" s="336" t="s">
        <v>630</v>
      </c>
      <c r="C29" s="337">
        <v>1</v>
      </c>
      <c r="D29" s="331">
        <v>5</v>
      </c>
      <c r="E29" s="338">
        <f t="shared" ref="E29:E34" si="0">ROUND($G$25*D29/100*C29,2)</f>
        <v>54094.37</v>
      </c>
      <c r="F29" s="332">
        <v>0</v>
      </c>
      <c r="G29" s="333">
        <f t="shared" ref="G29:G34" si="1">E29-F29</f>
        <v>54094.37</v>
      </c>
      <c r="H29" s="334"/>
      <c r="I29" s="256"/>
    </row>
    <row r="30" spans="1:9" ht="13.95" customHeight="1" x14ac:dyDescent="0.3">
      <c r="A30" s="335" t="s">
        <v>631</v>
      </c>
      <c r="B30" s="336" t="s">
        <v>632</v>
      </c>
      <c r="C30" s="337">
        <v>1</v>
      </c>
      <c r="D30" s="331">
        <v>25</v>
      </c>
      <c r="E30" s="338">
        <f t="shared" si="0"/>
        <v>270471.84000000003</v>
      </c>
      <c r="F30" s="332">
        <v>0</v>
      </c>
      <c r="G30" s="333">
        <f t="shared" si="1"/>
        <v>270471.84000000003</v>
      </c>
      <c r="H30" s="334"/>
      <c r="I30" s="256"/>
    </row>
    <row r="31" spans="1:9" ht="13.95" customHeight="1" x14ac:dyDescent="0.3">
      <c r="A31" s="335" t="s">
        <v>633</v>
      </c>
      <c r="B31" s="339" t="s">
        <v>634</v>
      </c>
      <c r="C31" s="337">
        <v>1</v>
      </c>
      <c r="D31" s="331">
        <v>25</v>
      </c>
      <c r="E31" s="338">
        <f t="shared" si="0"/>
        <v>270471.84000000003</v>
      </c>
      <c r="F31" s="332">
        <v>0</v>
      </c>
      <c r="G31" s="333">
        <f t="shared" si="1"/>
        <v>270471.84000000003</v>
      </c>
      <c r="H31" s="334"/>
      <c r="I31" s="256"/>
    </row>
    <row r="32" spans="1:9" ht="13.95" customHeight="1" x14ac:dyDescent="0.3">
      <c r="A32" s="335" t="s">
        <v>635</v>
      </c>
      <c r="B32" s="340" t="s">
        <v>636</v>
      </c>
      <c r="C32" s="337">
        <v>1</v>
      </c>
      <c r="D32" s="331">
        <v>15</v>
      </c>
      <c r="E32" s="338">
        <f t="shared" si="0"/>
        <v>162283.1</v>
      </c>
      <c r="F32" s="332">
        <v>0</v>
      </c>
      <c r="G32" s="333">
        <f t="shared" si="1"/>
        <v>162283.1</v>
      </c>
      <c r="H32" s="334"/>
      <c r="I32" s="256"/>
    </row>
    <row r="33" spans="1:13" ht="14.4" x14ac:dyDescent="0.25">
      <c r="A33" s="341" t="s">
        <v>637</v>
      </c>
      <c r="B33" s="342" t="s">
        <v>638</v>
      </c>
      <c r="C33" s="343">
        <v>1</v>
      </c>
      <c r="D33" s="344">
        <v>25</v>
      </c>
      <c r="E33" s="338">
        <f t="shared" si="0"/>
        <v>270471.84000000003</v>
      </c>
      <c r="F33" s="345">
        <v>0</v>
      </c>
      <c r="G33" s="346">
        <f t="shared" si="1"/>
        <v>270471.84000000003</v>
      </c>
      <c r="H33" s="347"/>
      <c r="I33" s="256"/>
    </row>
    <row r="34" spans="1:13" ht="13.95" customHeight="1" x14ac:dyDescent="0.3">
      <c r="A34" s="335" t="s">
        <v>639</v>
      </c>
      <c r="B34" s="348" t="s">
        <v>640</v>
      </c>
      <c r="C34" s="337">
        <v>1</v>
      </c>
      <c r="D34" s="331">
        <v>5</v>
      </c>
      <c r="E34" s="338">
        <f t="shared" si="0"/>
        <v>54094.37</v>
      </c>
      <c r="F34" s="332">
        <v>0</v>
      </c>
      <c r="G34" s="333">
        <f t="shared" si="1"/>
        <v>54094.37</v>
      </c>
      <c r="H34" s="334"/>
      <c r="I34"/>
      <c r="J34"/>
      <c r="K34"/>
      <c r="L34" s="141"/>
      <c r="M34" s="141"/>
    </row>
    <row r="35" spans="1:13" ht="19.95" customHeight="1" x14ac:dyDescent="0.3">
      <c r="A35" s="349" t="s">
        <v>641</v>
      </c>
      <c r="B35" s="350"/>
      <c r="C35" s="350"/>
      <c r="D35" s="350"/>
      <c r="E35" s="351">
        <f>SUM(E29:E34)</f>
        <v>1081887.3600000001</v>
      </c>
      <c r="F35" s="351">
        <f>SUM(F29:F34)</f>
        <v>0</v>
      </c>
      <c r="G35" s="352">
        <f>SUM(G29:G34)</f>
        <v>1081887.3600000001</v>
      </c>
      <c r="H35" s="353"/>
      <c r="I35"/>
      <c r="J35"/>
      <c r="K35"/>
      <c r="L35"/>
      <c r="M35" s="141"/>
    </row>
    <row r="36" spans="1:13" ht="13.95" customHeight="1" x14ac:dyDescent="0.3">
      <c r="A36" s="330"/>
      <c r="B36"/>
      <c r="C36"/>
      <c r="D36"/>
      <c r="E36"/>
      <c r="F36"/>
      <c r="G36" s="354"/>
      <c r="H36" s="334"/>
      <c r="I36"/>
      <c r="J36"/>
      <c r="K36"/>
      <c r="L36"/>
      <c r="M36" s="141"/>
    </row>
    <row r="37" spans="1:13" ht="13.95" customHeight="1" x14ac:dyDescent="0.3">
      <c r="A37" s="355" t="s">
        <v>642</v>
      </c>
      <c r="B37" s="356" t="s">
        <v>643</v>
      </c>
      <c r="C37"/>
      <c r="D37"/>
      <c r="E37" s="332"/>
      <c r="F37" s="332"/>
      <c r="G37" s="333">
        <v>500000</v>
      </c>
      <c r="H37" s="334"/>
      <c r="I37"/>
      <c r="J37"/>
      <c r="K37"/>
      <c r="L37"/>
      <c r="M37" s="141"/>
    </row>
    <row r="38" spans="1:13" ht="13.95" customHeight="1" x14ac:dyDescent="0.3">
      <c r="A38" s="335" t="s">
        <v>644</v>
      </c>
      <c r="B38" s="331" t="s">
        <v>645</v>
      </c>
      <c r="C38" s="357" t="s">
        <v>646</v>
      </c>
      <c r="D38" s="928" t="s">
        <v>647</v>
      </c>
      <c r="E38" s="928"/>
      <c r="F38" s="358"/>
      <c r="G38" s="359"/>
      <c r="H38" s="358"/>
      <c r="I38"/>
      <c r="J38"/>
      <c r="K38"/>
      <c r="L38"/>
      <c r="M38"/>
    </row>
    <row r="39" spans="1:13" ht="13.95" customHeight="1" x14ac:dyDescent="0.3">
      <c r="A39" s="335" t="s">
        <v>648</v>
      </c>
      <c r="B39" s="331" t="s">
        <v>649</v>
      </c>
      <c r="C39" s="357" t="s">
        <v>650</v>
      </c>
      <c r="D39" s="928" t="s">
        <v>651</v>
      </c>
      <c r="E39" s="928"/>
      <c r="F39" s="358"/>
      <c r="G39" s="359"/>
      <c r="H39" s="358"/>
      <c r="I39"/>
      <c r="J39"/>
      <c r="K39"/>
      <c r="L39"/>
      <c r="M39" s="360"/>
    </row>
    <row r="40" spans="1:13" ht="13.95" customHeight="1" x14ac:dyDescent="0.3">
      <c r="A40" s="335" t="s">
        <v>652</v>
      </c>
      <c r="B40" s="331" t="s">
        <v>653</v>
      </c>
      <c r="C40"/>
      <c r="D40" s="360"/>
      <c r="E40" s="361"/>
      <c r="F40" s="361"/>
      <c r="G40" s="333"/>
      <c r="H40" s="334"/>
      <c r="I40"/>
      <c r="J40"/>
      <c r="K40"/>
      <c r="L40"/>
      <c r="M40"/>
    </row>
    <row r="41" spans="1:13" ht="13.95" customHeight="1" x14ac:dyDescent="0.3">
      <c r="A41" s="335"/>
      <c r="B41" s="331"/>
      <c r="C41" s="362"/>
      <c r="D41" s="929"/>
      <c r="E41" s="929"/>
      <c r="F41" s="363"/>
      <c r="G41" s="333"/>
      <c r="H41" s="334"/>
      <c r="I41"/>
      <c r="J41"/>
      <c r="K41"/>
      <c r="L41"/>
      <c r="M41" s="364"/>
    </row>
    <row r="42" spans="1:13" ht="13.95" customHeight="1" x14ac:dyDescent="0.3">
      <c r="A42" s="355" t="s">
        <v>654</v>
      </c>
      <c r="B42" s="356" t="s">
        <v>655</v>
      </c>
      <c r="C42"/>
      <c r="D42" s="360"/>
      <c r="E42" s="363"/>
      <c r="F42" s="363"/>
      <c r="G42" s="333"/>
      <c r="H42" s="334"/>
    </row>
    <row r="43" spans="1:13" ht="13.95" customHeight="1" x14ac:dyDescent="0.3">
      <c r="A43" s="365" t="s">
        <v>656</v>
      </c>
      <c r="B43" s="331" t="s">
        <v>657</v>
      </c>
      <c r="C43"/>
      <c r="D43" s="360"/>
      <c r="E43" s="361"/>
      <c r="F43" s="361"/>
      <c r="G43" s="333">
        <f>'[1]Cost Estimates'!F6</f>
        <v>200000</v>
      </c>
      <c r="H43" s="334"/>
    </row>
    <row r="44" spans="1:13" ht="13.95" customHeight="1" x14ac:dyDescent="0.3">
      <c r="A44" s="365" t="s">
        <v>658</v>
      </c>
      <c r="B44" s="331" t="s">
        <v>659</v>
      </c>
      <c r="C44"/>
      <c r="D44" s="360"/>
      <c r="E44" s="363"/>
      <c r="F44" s="363"/>
      <c r="G44" s="333">
        <f>'[1]Cost Estimates'!F8</f>
        <v>350000</v>
      </c>
      <c r="H44" s="334"/>
    </row>
    <row r="45" spans="1:13" ht="13.95" customHeight="1" x14ac:dyDescent="0.3">
      <c r="A45" s="365" t="s">
        <v>660</v>
      </c>
      <c r="B45" s="331" t="s">
        <v>661</v>
      </c>
      <c r="C45"/>
      <c r="D45" s="360"/>
      <c r="E45" s="363"/>
      <c r="F45" s="363"/>
      <c r="G45" s="333">
        <f>'[1]Cost Estimates'!F5</f>
        <v>300000</v>
      </c>
      <c r="H45" s="334"/>
    </row>
    <row r="46" spans="1:13" ht="13.95" customHeight="1" x14ac:dyDescent="0.3">
      <c r="A46" s="365"/>
      <c r="B46" s="331"/>
      <c r="C46"/>
      <c r="D46" s="360"/>
      <c r="E46" s="363"/>
      <c r="F46" s="363"/>
      <c r="G46" s="333"/>
      <c r="H46" s="334"/>
    </row>
    <row r="47" spans="1:13" ht="13.95" customHeight="1" x14ac:dyDescent="0.3">
      <c r="A47" s="330"/>
      <c r="B47"/>
      <c r="C47"/>
      <c r="D47" s="360"/>
      <c r="E47" s="360"/>
      <c r="F47" s="360"/>
      <c r="G47" s="333"/>
      <c r="H47" s="334"/>
    </row>
    <row r="48" spans="1:13" ht="16.2" customHeight="1" x14ac:dyDescent="0.25">
      <c r="A48" s="366" t="s">
        <v>662</v>
      </c>
      <c r="B48" s="350"/>
      <c r="C48" s="350"/>
      <c r="D48" s="350"/>
      <c r="E48" s="351"/>
      <c r="F48" s="351"/>
      <c r="G48" s="367">
        <f>SUM(G37:G45)</f>
        <v>1350000</v>
      </c>
      <c r="H48" s="353"/>
    </row>
    <row r="49" spans="1:8" ht="18.45" customHeight="1" x14ac:dyDescent="0.3">
      <c r="A49" s="920"/>
      <c r="B49" s="921"/>
      <c r="C49" s="921"/>
      <c r="D49" s="921"/>
      <c r="E49" s="360"/>
      <c r="F49" s="360"/>
      <c r="G49" s="368"/>
      <c r="H49" s="334"/>
    </row>
    <row r="50" spans="1:8" ht="18.45" customHeight="1" x14ac:dyDescent="0.25">
      <c r="A50" s="366" t="s">
        <v>164</v>
      </c>
      <c r="B50" s="350"/>
      <c r="C50" s="350"/>
      <c r="D50" s="350"/>
      <c r="E50" s="351"/>
      <c r="F50" s="351"/>
      <c r="G50" s="367">
        <f>G48+G35</f>
        <v>2431887.3600000003</v>
      </c>
      <c r="H50" s="353"/>
    </row>
    <row r="51" spans="1:8" ht="13.95" customHeight="1" x14ac:dyDescent="0.3">
      <c r="A51" s="190"/>
      <c r="B51"/>
      <c r="C51"/>
      <c r="D51"/>
      <c r="E51"/>
      <c r="F51"/>
      <c r="G51" s="368"/>
      <c r="H51" s="334"/>
    </row>
    <row r="52" spans="1:8" ht="13.95" customHeight="1" x14ac:dyDescent="0.25">
      <c r="A52" s="369"/>
      <c r="B52" s="256"/>
      <c r="C52" s="256"/>
      <c r="D52" s="256"/>
      <c r="E52" s="256"/>
      <c r="F52" s="256"/>
      <c r="G52" s="370"/>
      <c r="H52" s="256"/>
    </row>
    <row r="53" spans="1:8" ht="13.95" customHeight="1" x14ac:dyDescent="0.25">
      <c r="A53" s="369"/>
      <c r="B53" s="256"/>
      <c r="C53" s="256"/>
      <c r="D53" s="256"/>
      <c r="E53" s="256"/>
      <c r="F53" s="256"/>
      <c r="G53" s="370"/>
      <c r="H53" s="256"/>
    </row>
    <row r="54" spans="1:8" ht="13.95" customHeight="1" x14ac:dyDescent="0.25">
      <c r="A54" s="922" t="s">
        <v>663</v>
      </c>
      <c r="B54" s="923"/>
      <c r="C54" s="256"/>
      <c r="D54" s="256"/>
      <c r="E54" s="256"/>
      <c r="F54" s="256"/>
      <c r="G54" s="371">
        <f>0.15*G50</f>
        <v>364783.10400000005</v>
      </c>
      <c r="H54" s="372"/>
    </row>
    <row r="55" spans="1:8" ht="13.95" customHeight="1" x14ac:dyDescent="0.25">
      <c r="A55" s="369"/>
      <c r="B55" s="256"/>
      <c r="C55" s="256"/>
      <c r="D55" s="256"/>
      <c r="E55" s="256"/>
      <c r="F55" s="256"/>
      <c r="G55" s="373"/>
      <c r="H55" s="374"/>
    </row>
    <row r="56" spans="1:8" ht="13.95" customHeight="1" x14ac:dyDescent="0.25">
      <c r="A56" s="369"/>
      <c r="B56" s="256"/>
      <c r="C56" s="256"/>
      <c r="D56" s="256"/>
      <c r="E56" s="256"/>
      <c r="F56" s="256"/>
      <c r="G56" s="373"/>
      <c r="H56" s="374"/>
    </row>
    <row r="57" spans="1:8" ht="13.95" customHeight="1" thickBot="1" x14ac:dyDescent="0.3">
      <c r="A57" s="924" t="s">
        <v>664</v>
      </c>
      <c r="B57" s="925"/>
      <c r="C57" s="375"/>
      <c r="D57" s="375"/>
      <c r="E57" s="375"/>
      <c r="F57" s="375"/>
      <c r="G57" s="376">
        <f>G50+G54</f>
        <v>2796670.4640000006</v>
      </c>
      <c r="H57" s="372"/>
    </row>
    <row r="58" spans="1:8" ht="13.95" customHeight="1" x14ac:dyDescent="0.25"/>
    <row r="59" spans="1:8" ht="13.95" customHeight="1" x14ac:dyDescent="0.25">
      <c r="G59" s="377"/>
      <c r="H59" s="377"/>
    </row>
  </sheetData>
  <mergeCells count="18">
    <mergeCell ref="A49:D49"/>
    <mergeCell ref="A54:B54"/>
    <mergeCell ref="A57:B57"/>
    <mergeCell ref="B19:E19"/>
    <mergeCell ref="B23:F23"/>
    <mergeCell ref="D38:E38"/>
    <mergeCell ref="D39:E39"/>
    <mergeCell ref="D41:E41"/>
    <mergeCell ref="B14:E14"/>
    <mergeCell ref="B15:E15"/>
    <mergeCell ref="B16:E16"/>
    <mergeCell ref="B17:E17"/>
    <mergeCell ref="B18:E18"/>
    <mergeCell ref="F3:G3"/>
    <mergeCell ref="F4:G4"/>
    <mergeCell ref="B7:F7"/>
    <mergeCell ref="B9:E9"/>
    <mergeCell ref="B13:E13"/>
  </mergeCells>
  <conditionalFormatting sqref="G22:H22">
    <cfRule type="cellIs" dxfId="0" priority="1" stopIfTrue="1" operator="lessThan">
      <formula>0</formula>
    </cfRule>
  </conditionalFormatting>
  <dataValidations disablePrompts="1" count="1">
    <dataValidation type="list" allowBlank="1" showInputMessage="1" showErrorMessage="1" sqref="F12" xr:uid="{00000000-0002-0000-0200-000000000000}">
      <formula1>"Less Effort, Medium Effort, High Effort"</formula1>
    </dataValidation>
  </dataValidations>
  <pageMargins left="0.7" right="0.7" top="0.75" bottom="0.75" header="0.3" footer="0.3"/>
  <pageSetup paperSize="9" scale="68" orientation="portrait" horizontalDpi="1200" verticalDpi="1200" r:id="rId1"/>
  <colBreaks count="1" manualBreakCount="1">
    <brk id="7" max="1048575" man="1"/>
  </colBreak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4.4" x14ac:dyDescent="0.3"/>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defaultRowHeight="14.4" x14ac:dyDescent="0.3"/>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defaultRowHeight="14.4" x14ac:dyDescent="0.3"/>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defaultRowHeight="14.4" x14ac:dyDescent="0.3"/>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heetViews>
  <sheetFormatPr defaultRowHeight="14.4" x14ac:dyDescent="0.3"/>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heetViews>
  <sheetFormatPr defaultRowHeight="14.4" x14ac:dyDescent="0.3"/>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defaultRowHeight="14.4" x14ac:dyDescent="0.3"/>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defaultRowHeight="14.4" x14ac:dyDescent="0.3"/>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defaultRowHeight="14.4" x14ac:dyDescent="0.3"/>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defaultRowHeight="14.4" x14ac:dyDescent="0.3"/>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defaultRowHeight="14.4" x14ac:dyDescent="0.3"/>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defaultRowHeight="14.4" x14ac:dyDescent="0.3"/>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defaultRowHeight="14.4" x14ac:dyDescent="0.3"/>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defaultRowHeight="14.4" x14ac:dyDescent="0.3"/>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
  <sheetViews>
    <sheetView workbookViewId="0"/>
  </sheetViews>
  <sheetFormatPr defaultRowHeight="14.4" x14ac:dyDescent="0.3"/>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
  <sheetViews>
    <sheetView workbookViewId="0"/>
  </sheetViews>
  <sheetFormatPr defaultRowHeight="14.4" x14ac:dyDescent="0.3"/>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
  <sheetViews>
    <sheetView workbookViewId="0"/>
  </sheetViews>
  <sheetFormatPr defaultRowHeight="14.4" x14ac:dyDescent="0.3"/>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
  <sheetViews>
    <sheetView workbookViewId="0"/>
  </sheetViews>
  <sheetFormatPr defaultRowHeight="14.4" x14ac:dyDescent="0.3"/>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
  <sheetViews>
    <sheetView workbookViewId="0"/>
  </sheetViews>
  <sheetFormatPr defaultRowHeight="14.4" x14ac:dyDescent="0.3"/>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
  <sheetViews>
    <sheetView workbookViewId="0"/>
  </sheetViews>
  <sheetFormatPr defaultRowHeight="14.4" x14ac:dyDescent="0.3"/>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
  <sheetViews>
    <sheetView workbookViewId="0"/>
  </sheetViews>
  <sheetFormatPr defaultRowHeight="14.4" x14ac:dyDescent="0.3"/>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
  <sheetViews>
    <sheetView workbookViewId="0"/>
  </sheetViews>
  <sheetFormatPr defaultRowHeight="14.4" x14ac:dyDescent="0.3"/>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
  <sheetViews>
    <sheetView workbookViewId="0"/>
  </sheetViews>
  <sheetFormatPr defaultRowHeight="14.4" x14ac:dyDescent="0.3"/>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
  <sheetViews>
    <sheetView workbookViewId="0"/>
  </sheetViews>
  <sheetFormatPr defaultRowHeight="14.4" x14ac:dyDescent="0.3"/>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
  <sheetViews>
    <sheetView workbookViewId="0"/>
  </sheetViews>
  <sheetFormatPr defaultRowHeight="14.4" x14ac:dyDescent="0.3"/>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
  <sheetViews>
    <sheetView workbookViewId="0"/>
  </sheetViews>
  <sheetFormatPr defaultRowHeight="14.4" x14ac:dyDescent="0.3"/>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I70"/>
  <sheetViews>
    <sheetView view="pageBreakPreview" topLeftCell="A54" zoomScaleNormal="100" zoomScaleSheetLayoutView="100" workbookViewId="0">
      <selection activeCell="H70" sqref="H70"/>
    </sheetView>
  </sheetViews>
  <sheetFormatPr defaultColWidth="6.21875" defaultRowHeight="14.4" x14ac:dyDescent="0.3"/>
  <cols>
    <col min="1" max="1" width="6.6640625" customWidth="1"/>
    <col min="2" max="2" width="7.6640625" customWidth="1"/>
    <col min="3" max="3" width="38" customWidth="1"/>
    <col min="4" max="4" width="7.109375" customWidth="1"/>
    <col min="5" max="5" width="7.88671875" customWidth="1"/>
    <col min="6" max="6" width="13.33203125" customWidth="1"/>
    <col min="7" max="7" width="14.5546875" customWidth="1"/>
    <col min="8" max="8" width="32.109375" style="593" customWidth="1"/>
  </cols>
  <sheetData>
    <row r="1" spans="1:9" ht="32.25" customHeight="1" thickBot="1" x14ac:dyDescent="0.35">
      <c r="A1" s="882" t="s">
        <v>0</v>
      </c>
      <c r="B1" s="882" t="s">
        <v>1</v>
      </c>
      <c r="C1" s="892" t="s">
        <v>2</v>
      </c>
      <c r="D1" s="882" t="s">
        <v>3</v>
      </c>
      <c r="E1" s="882" t="s">
        <v>4</v>
      </c>
      <c r="F1" s="886" t="s">
        <v>5</v>
      </c>
      <c r="G1" s="887"/>
      <c r="H1" s="882" t="s">
        <v>6</v>
      </c>
    </row>
    <row r="2" spans="1:9" ht="29.4" customHeight="1" thickBot="1" x14ac:dyDescent="0.35">
      <c r="A2" s="883"/>
      <c r="B2" s="883"/>
      <c r="C2" s="893"/>
      <c r="D2" s="883"/>
      <c r="E2" s="883"/>
      <c r="F2" s="91" t="s">
        <v>7</v>
      </c>
      <c r="G2" s="15" t="s">
        <v>8</v>
      </c>
      <c r="H2" s="883"/>
    </row>
    <row r="3" spans="1:9" ht="15" thickBot="1" x14ac:dyDescent="0.35">
      <c r="A3" s="16"/>
      <c r="B3" s="16"/>
      <c r="C3" s="130" t="s">
        <v>95</v>
      </c>
      <c r="D3" s="17"/>
      <c r="E3" s="17"/>
      <c r="F3" s="95"/>
      <c r="G3" s="177"/>
      <c r="H3" s="421"/>
    </row>
    <row r="4" spans="1:9" x14ac:dyDescent="0.3">
      <c r="A4" s="888">
        <v>1</v>
      </c>
      <c r="B4" s="148" t="s">
        <v>9</v>
      </c>
      <c r="C4" s="935" t="s">
        <v>11</v>
      </c>
      <c r="D4" s="876"/>
      <c r="E4" s="876"/>
      <c r="F4" s="876"/>
      <c r="G4" s="876"/>
      <c r="H4" s="933"/>
    </row>
    <row r="5" spans="1:9" ht="15" thickBot="1" x14ac:dyDescent="0.35">
      <c r="A5" s="889"/>
      <c r="B5" s="16" t="s">
        <v>10</v>
      </c>
      <c r="C5" s="936"/>
      <c r="D5" s="877"/>
      <c r="E5" s="877"/>
      <c r="F5" s="877"/>
      <c r="G5" s="877"/>
      <c r="H5" s="934"/>
    </row>
    <row r="6" spans="1:9" ht="24" customHeight="1" thickBot="1" x14ac:dyDescent="0.35">
      <c r="A6" s="92">
        <v>1.1000000000000001</v>
      </c>
      <c r="B6" s="153"/>
      <c r="C6" s="440" t="s">
        <v>762</v>
      </c>
      <c r="D6" s="153"/>
      <c r="E6" s="154"/>
      <c r="F6" s="43"/>
      <c r="G6" s="42"/>
      <c r="H6" s="422"/>
    </row>
    <row r="7" spans="1:9" ht="35.4" customHeight="1" thickBot="1" x14ac:dyDescent="0.35">
      <c r="A7" s="92" t="s">
        <v>12</v>
      </c>
      <c r="B7" s="153"/>
      <c r="C7" s="410" t="s">
        <v>765</v>
      </c>
      <c r="D7" s="153" t="s">
        <v>240</v>
      </c>
      <c r="E7" s="154">
        <v>24</v>
      </c>
      <c r="F7" s="490">
        <f>20000</f>
        <v>20000</v>
      </c>
      <c r="G7" s="491"/>
      <c r="H7" s="492">
        <f t="shared" ref="H7:H41" si="0">SUM(F7:G7)*E7</f>
        <v>480000</v>
      </c>
    </row>
    <row r="8" spans="1:9" ht="69.599999999999994" thickBot="1" x14ac:dyDescent="0.35">
      <c r="A8" s="72" t="s">
        <v>14</v>
      </c>
      <c r="B8" s="96"/>
      <c r="C8" s="441" t="s">
        <v>766</v>
      </c>
      <c r="D8" s="153"/>
      <c r="E8" s="72"/>
      <c r="F8" s="490"/>
      <c r="G8" s="491"/>
      <c r="H8" s="492"/>
      <c r="I8" s="6"/>
    </row>
    <row r="9" spans="1:9" ht="30" customHeight="1" thickBot="1" x14ac:dyDescent="0.35">
      <c r="A9" s="72" t="s">
        <v>782</v>
      </c>
      <c r="B9" s="72"/>
      <c r="C9" s="410" t="s">
        <v>796</v>
      </c>
      <c r="D9" s="153" t="s">
        <v>240</v>
      </c>
      <c r="E9" s="154">
        <f>E7</f>
        <v>24</v>
      </c>
      <c r="F9" s="490">
        <v>10000</v>
      </c>
      <c r="G9" s="491"/>
      <c r="H9" s="492">
        <f>SUM(F9:G9)*E9</f>
        <v>240000</v>
      </c>
      <c r="I9" s="411"/>
    </row>
    <row r="10" spans="1:9" ht="30" customHeight="1" thickBot="1" x14ac:dyDescent="0.35">
      <c r="A10" s="72" t="s">
        <v>783</v>
      </c>
      <c r="B10" s="72"/>
      <c r="C10" s="410" t="s">
        <v>784</v>
      </c>
      <c r="D10" s="153" t="s">
        <v>240</v>
      </c>
      <c r="E10" s="154">
        <f>E9</f>
        <v>24</v>
      </c>
      <c r="F10" s="490">
        <v>10000</v>
      </c>
      <c r="G10" s="491"/>
      <c r="H10" s="492">
        <f>SUM(F10:G10)*E10</f>
        <v>240000</v>
      </c>
      <c r="I10" s="411"/>
    </row>
    <row r="11" spans="1:9" ht="30" customHeight="1" thickBot="1" x14ac:dyDescent="0.35">
      <c r="A11" s="72" t="s">
        <v>785</v>
      </c>
      <c r="B11" s="72"/>
      <c r="C11" s="410" t="s">
        <v>786</v>
      </c>
      <c r="D11" s="153" t="s">
        <v>240</v>
      </c>
      <c r="E11" s="154">
        <f t="shared" ref="E11:E18" si="1">E9</f>
        <v>24</v>
      </c>
      <c r="F11" s="490">
        <v>20000</v>
      </c>
      <c r="G11" s="491"/>
      <c r="H11" s="492">
        <f t="shared" ref="H11:H34" si="2">SUM(F11:G11)*E11</f>
        <v>480000</v>
      </c>
      <c r="I11" s="411"/>
    </row>
    <row r="12" spans="1:9" ht="30" customHeight="1" thickBot="1" x14ac:dyDescent="0.35">
      <c r="A12" s="72" t="s">
        <v>787</v>
      </c>
      <c r="B12" s="72"/>
      <c r="C12" s="410" t="s">
        <v>788</v>
      </c>
      <c r="D12" s="153" t="s">
        <v>240</v>
      </c>
      <c r="E12" s="154">
        <f t="shared" si="1"/>
        <v>24</v>
      </c>
      <c r="F12" s="490">
        <v>10000</v>
      </c>
      <c r="G12" s="491"/>
      <c r="H12" s="492">
        <f t="shared" si="2"/>
        <v>240000</v>
      </c>
      <c r="I12" s="411"/>
    </row>
    <row r="13" spans="1:9" ht="30" customHeight="1" thickBot="1" x14ac:dyDescent="0.35">
      <c r="A13" s="72" t="s">
        <v>789</v>
      </c>
      <c r="B13" s="72"/>
      <c r="C13" s="410" t="s">
        <v>790</v>
      </c>
      <c r="D13" s="153" t="s">
        <v>240</v>
      </c>
      <c r="E13" s="154">
        <f t="shared" si="1"/>
        <v>24</v>
      </c>
      <c r="F13" s="490">
        <v>10000</v>
      </c>
      <c r="G13" s="491"/>
      <c r="H13" s="492">
        <f t="shared" si="2"/>
        <v>240000</v>
      </c>
      <c r="I13" s="411"/>
    </row>
    <row r="14" spans="1:9" ht="30" customHeight="1" thickBot="1" x14ac:dyDescent="0.35">
      <c r="A14" s="72" t="s">
        <v>791</v>
      </c>
      <c r="B14" s="72"/>
      <c r="C14" s="410" t="s">
        <v>792</v>
      </c>
      <c r="D14" s="153" t="s">
        <v>240</v>
      </c>
      <c r="E14" s="154">
        <f t="shared" si="1"/>
        <v>24</v>
      </c>
      <c r="F14" s="490">
        <v>3000</v>
      </c>
      <c r="G14" s="491"/>
      <c r="H14" s="492">
        <f t="shared" si="2"/>
        <v>72000</v>
      </c>
      <c r="I14" s="411"/>
    </row>
    <row r="15" spans="1:9" ht="30" customHeight="1" thickBot="1" x14ac:dyDescent="0.35">
      <c r="A15" s="72" t="s">
        <v>793</v>
      </c>
      <c r="B15" s="72"/>
      <c r="C15" s="410" t="s">
        <v>794</v>
      </c>
      <c r="D15" s="153" t="s">
        <v>240</v>
      </c>
      <c r="E15" s="154">
        <f t="shared" si="1"/>
        <v>24</v>
      </c>
      <c r="F15" s="490">
        <v>10000</v>
      </c>
      <c r="G15" s="491"/>
      <c r="H15" s="492">
        <f>SUM(F15:G15)*E15</f>
        <v>240000</v>
      </c>
      <c r="I15" s="411"/>
    </row>
    <row r="16" spans="1:9" ht="30" customHeight="1" thickBot="1" x14ac:dyDescent="0.35">
      <c r="A16" s="72" t="s">
        <v>939</v>
      </c>
      <c r="B16" s="153"/>
      <c r="C16" s="410" t="s">
        <v>936</v>
      </c>
      <c r="D16" s="153" t="s">
        <v>240</v>
      </c>
      <c r="E16" s="154">
        <f t="shared" si="1"/>
        <v>24</v>
      </c>
      <c r="F16" s="493">
        <v>10000</v>
      </c>
      <c r="G16" s="493"/>
      <c r="H16" s="492">
        <f>SUM(F16:G16)*E16</f>
        <v>240000</v>
      </c>
      <c r="I16" s="411"/>
    </row>
    <row r="17" spans="1:9" ht="30" customHeight="1" thickBot="1" x14ac:dyDescent="0.35">
      <c r="A17" s="72" t="s">
        <v>940</v>
      </c>
      <c r="B17" s="153"/>
      <c r="C17" s="410" t="s">
        <v>937</v>
      </c>
      <c r="D17" s="153" t="s">
        <v>240</v>
      </c>
      <c r="E17" s="154">
        <f t="shared" si="1"/>
        <v>24</v>
      </c>
      <c r="F17" s="494">
        <v>5000</v>
      </c>
      <c r="G17" s="494"/>
      <c r="H17" s="492">
        <f>SUM(F17:G17)*E17</f>
        <v>120000</v>
      </c>
      <c r="I17" s="411"/>
    </row>
    <row r="18" spans="1:9" ht="30" customHeight="1" thickBot="1" x14ac:dyDescent="0.35">
      <c r="A18" s="72" t="s">
        <v>941</v>
      </c>
      <c r="B18" s="153"/>
      <c r="C18" s="410" t="s">
        <v>938</v>
      </c>
      <c r="D18" s="153" t="s">
        <v>240</v>
      </c>
      <c r="E18" s="154">
        <f t="shared" si="1"/>
        <v>24</v>
      </c>
      <c r="F18" s="494">
        <v>5000</v>
      </c>
      <c r="G18" s="494"/>
      <c r="H18" s="492">
        <f>SUM(F18:G18)*E18</f>
        <v>120000</v>
      </c>
      <c r="I18" s="411"/>
    </row>
    <row r="19" spans="1:9" ht="28.2" thickBot="1" x14ac:dyDescent="0.35">
      <c r="A19" s="92" t="s">
        <v>15</v>
      </c>
      <c r="B19" s="153"/>
      <c r="C19" s="420" t="s">
        <v>833</v>
      </c>
      <c r="D19" s="153"/>
      <c r="E19" s="124"/>
      <c r="F19" s="493"/>
      <c r="G19" s="491"/>
      <c r="H19" s="492"/>
    </row>
    <row r="20" spans="1:9" ht="42" thickBot="1" x14ac:dyDescent="0.35">
      <c r="A20" s="92" t="s">
        <v>818</v>
      </c>
      <c r="B20" s="153"/>
      <c r="C20" s="410" t="s">
        <v>769</v>
      </c>
      <c r="D20" s="153" t="s">
        <v>37</v>
      </c>
      <c r="E20" s="124">
        <v>1</v>
      </c>
      <c r="F20" s="493">
        <v>30000</v>
      </c>
      <c r="G20" s="491"/>
      <c r="H20" s="492">
        <f>SUM(F20:G20)*E20</f>
        <v>30000</v>
      </c>
    </row>
    <row r="21" spans="1:9" ht="28.2" thickBot="1" x14ac:dyDescent="0.35">
      <c r="A21" s="92" t="s">
        <v>819</v>
      </c>
      <c r="B21" s="153"/>
      <c r="C21" s="410" t="s">
        <v>771</v>
      </c>
      <c r="D21" s="153" t="s">
        <v>37</v>
      </c>
      <c r="E21" s="124">
        <v>1</v>
      </c>
      <c r="F21" s="493">
        <v>80000</v>
      </c>
      <c r="G21" s="491"/>
      <c r="H21" s="492">
        <f>SUM(F21:G21)*E21</f>
        <v>80000</v>
      </c>
    </row>
    <row r="22" spans="1:9" ht="69.599999999999994" thickBot="1" x14ac:dyDescent="0.35">
      <c r="A22" s="92" t="s">
        <v>820</v>
      </c>
      <c r="B22" s="153"/>
      <c r="C22" s="410" t="s">
        <v>773</v>
      </c>
      <c r="D22" s="153" t="s">
        <v>37</v>
      </c>
      <c r="E22" s="124">
        <v>1</v>
      </c>
      <c r="F22" s="493">
        <v>150000</v>
      </c>
      <c r="G22" s="491"/>
      <c r="H22" s="492">
        <f t="shared" ref="H22:H23" si="3">SUM(F22:G22)*E22</f>
        <v>150000</v>
      </c>
    </row>
    <row r="23" spans="1:9" ht="45.6" customHeight="1" thickBot="1" x14ac:dyDescent="0.35">
      <c r="A23" s="92" t="s">
        <v>821</v>
      </c>
      <c r="B23" s="153"/>
      <c r="C23" s="410" t="s">
        <v>775</v>
      </c>
      <c r="D23" s="72" t="s">
        <v>37</v>
      </c>
      <c r="E23" s="124">
        <v>1</v>
      </c>
      <c r="F23" s="493">
        <v>100000</v>
      </c>
      <c r="G23" s="491"/>
      <c r="H23" s="492">
        <f t="shared" si="3"/>
        <v>100000</v>
      </c>
    </row>
    <row r="24" spans="1:9" ht="35.549999999999997" customHeight="1" thickBot="1" x14ac:dyDescent="0.35">
      <c r="A24" s="930" t="s">
        <v>123</v>
      </c>
      <c r="B24" s="931"/>
      <c r="C24" s="931"/>
      <c r="D24" s="931"/>
      <c r="E24" s="931"/>
      <c r="F24" s="931"/>
      <c r="G24" s="932"/>
      <c r="H24" s="731">
        <f>SUM(H7:H23)</f>
        <v>3072000</v>
      </c>
    </row>
    <row r="25" spans="1:9" ht="26.25" customHeight="1" thickBot="1" x14ac:dyDescent="0.35">
      <c r="A25" s="882" t="s">
        <v>0</v>
      </c>
      <c r="B25" s="882" t="s">
        <v>1</v>
      </c>
      <c r="C25" s="892" t="s">
        <v>2</v>
      </c>
      <c r="D25" s="882" t="s">
        <v>3</v>
      </c>
      <c r="E25" s="882" t="s">
        <v>4</v>
      </c>
      <c r="F25" s="886" t="s">
        <v>5</v>
      </c>
      <c r="G25" s="887"/>
      <c r="H25" s="882" t="s">
        <v>6</v>
      </c>
    </row>
    <row r="26" spans="1:9" ht="26.25" customHeight="1" thickBot="1" x14ac:dyDescent="0.35">
      <c r="A26" s="883"/>
      <c r="B26" s="883"/>
      <c r="C26" s="893"/>
      <c r="D26" s="883"/>
      <c r="E26" s="883"/>
      <c r="F26" s="91" t="s">
        <v>7</v>
      </c>
      <c r="G26" s="15" t="s">
        <v>8</v>
      </c>
      <c r="H26" s="883"/>
    </row>
    <row r="27" spans="1:9" ht="35.549999999999997" customHeight="1" thickBot="1" x14ac:dyDescent="0.35">
      <c r="A27" s="930" t="s">
        <v>566</v>
      </c>
      <c r="B27" s="931"/>
      <c r="C27" s="931"/>
      <c r="D27" s="931"/>
      <c r="E27" s="931"/>
      <c r="F27" s="931"/>
      <c r="G27" s="932"/>
      <c r="H27" s="731">
        <f>H24</f>
        <v>3072000</v>
      </c>
    </row>
    <row r="28" spans="1:9" ht="113.4" customHeight="1" thickBot="1" x14ac:dyDescent="0.35">
      <c r="A28" s="92" t="s">
        <v>279</v>
      </c>
      <c r="B28" s="153"/>
      <c r="C28" s="410" t="s">
        <v>834</v>
      </c>
      <c r="D28" s="153" t="s">
        <v>37</v>
      </c>
      <c r="E28" s="124">
        <v>1</v>
      </c>
      <c r="F28" s="493">
        <v>300000</v>
      </c>
      <c r="G28" s="491"/>
      <c r="H28" s="492">
        <f t="shared" ref="H28" si="4">SUM(F28:G28)*E28</f>
        <v>300000</v>
      </c>
    </row>
    <row r="29" spans="1:9" ht="95.4" customHeight="1" thickBot="1" x14ac:dyDescent="0.35">
      <c r="A29" s="92" t="s">
        <v>280</v>
      </c>
      <c r="B29" s="153"/>
      <c r="C29" s="420" t="s">
        <v>776</v>
      </c>
      <c r="D29" s="153"/>
      <c r="E29" s="124"/>
      <c r="F29" s="493"/>
      <c r="G29" s="491"/>
      <c r="H29" s="492"/>
    </row>
    <row r="30" spans="1:9" ht="15" thickBot="1" x14ac:dyDescent="0.35">
      <c r="A30" s="92" t="s">
        <v>768</v>
      </c>
      <c r="B30" s="153"/>
      <c r="C30" s="410" t="s">
        <v>777</v>
      </c>
      <c r="D30" s="153" t="s">
        <v>37</v>
      </c>
      <c r="E30" s="124">
        <v>1</v>
      </c>
      <c r="F30" s="493">
        <v>5000</v>
      </c>
      <c r="G30" s="491"/>
      <c r="H30" s="492">
        <f t="shared" si="2"/>
        <v>5000</v>
      </c>
    </row>
    <row r="31" spans="1:9" ht="32.4" customHeight="1" thickBot="1" x14ac:dyDescent="0.35">
      <c r="A31" s="92" t="s">
        <v>770</v>
      </c>
      <c r="B31" s="153"/>
      <c r="C31" s="410" t="s">
        <v>778</v>
      </c>
      <c r="D31" s="153" t="s">
        <v>37</v>
      </c>
      <c r="E31" s="124">
        <v>1</v>
      </c>
      <c r="F31" s="493">
        <v>5000</v>
      </c>
      <c r="G31" s="491"/>
      <c r="H31" s="492">
        <f t="shared" si="2"/>
        <v>5000</v>
      </c>
    </row>
    <row r="32" spans="1:9" ht="32.4" customHeight="1" thickBot="1" x14ac:dyDescent="0.35">
      <c r="A32" s="92" t="s">
        <v>772</v>
      </c>
      <c r="B32" s="153"/>
      <c r="C32" s="410" t="s">
        <v>779</v>
      </c>
      <c r="D32" s="153" t="s">
        <v>37</v>
      </c>
      <c r="E32" s="124">
        <v>1</v>
      </c>
      <c r="F32" s="493">
        <v>5000</v>
      </c>
      <c r="G32" s="491"/>
      <c r="H32" s="492">
        <f t="shared" si="2"/>
        <v>5000</v>
      </c>
    </row>
    <row r="33" spans="1:8" ht="32.4" customHeight="1" thickBot="1" x14ac:dyDescent="0.35">
      <c r="A33" s="92" t="s">
        <v>774</v>
      </c>
      <c r="B33" s="153"/>
      <c r="C33" s="410" t="s">
        <v>780</v>
      </c>
      <c r="D33" s="153" t="s">
        <v>37</v>
      </c>
      <c r="E33" s="124">
        <v>1</v>
      </c>
      <c r="F33" s="493">
        <v>5000</v>
      </c>
      <c r="G33" s="491"/>
      <c r="H33" s="492">
        <f t="shared" si="2"/>
        <v>5000</v>
      </c>
    </row>
    <row r="34" spans="1:8" ht="32.4" customHeight="1" thickBot="1" x14ac:dyDescent="0.35">
      <c r="A34" s="92" t="s">
        <v>822</v>
      </c>
      <c r="B34" s="153"/>
      <c r="C34" s="410" t="s">
        <v>781</v>
      </c>
      <c r="D34" s="153" t="s">
        <v>37</v>
      </c>
      <c r="E34" s="124">
        <v>1</v>
      </c>
      <c r="F34" s="493">
        <v>5000</v>
      </c>
      <c r="G34" s="491"/>
      <c r="H34" s="492">
        <f t="shared" si="2"/>
        <v>5000</v>
      </c>
    </row>
    <row r="35" spans="1:8" ht="32.4" customHeight="1" thickBot="1" x14ac:dyDescent="0.35">
      <c r="A35" s="92" t="s">
        <v>281</v>
      </c>
      <c r="B35" s="153"/>
      <c r="C35" s="442" t="s">
        <v>808</v>
      </c>
      <c r="D35" s="153" t="s">
        <v>37</v>
      </c>
      <c r="E35" s="124">
        <v>1</v>
      </c>
      <c r="F35" s="493">
        <v>25000</v>
      </c>
      <c r="G35" s="491"/>
      <c r="H35" s="492">
        <f t="shared" si="0"/>
        <v>25000</v>
      </c>
    </row>
    <row r="36" spans="1:8" ht="32.4" customHeight="1" thickBot="1" x14ac:dyDescent="0.35">
      <c r="A36" s="92" t="s">
        <v>763</v>
      </c>
      <c r="B36" s="153"/>
      <c r="C36" s="442" t="s">
        <v>809</v>
      </c>
      <c r="D36" s="153" t="s">
        <v>37</v>
      </c>
      <c r="E36" s="124">
        <v>1</v>
      </c>
      <c r="F36" s="493">
        <v>10000</v>
      </c>
      <c r="G36" s="491"/>
      <c r="H36" s="492">
        <f t="shared" si="0"/>
        <v>10000</v>
      </c>
    </row>
    <row r="37" spans="1:8" ht="32.4" customHeight="1" thickBot="1" x14ac:dyDescent="0.35">
      <c r="A37" s="92" t="s">
        <v>764</v>
      </c>
      <c r="B37" s="153"/>
      <c r="C37" s="410" t="s">
        <v>810</v>
      </c>
      <c r="D37" s="153" t="s">
        <v>37</v>
      </c>
      <c r="E37" s="124">
        <v>1</v>
      </c>
      <c r="F37" s="493">
        <v>10000</v>
      </c>
      <c r="G37" s="491"/>
      <c r="H37" s="492">
        <f t="shared" si="0"/>
        <v>10000</v>
      </c>
    </row>
    <row r="38" spans="1:8" ht="32.4" customHeight="1" thickBot="1" x14ac:dyDescent="0.35">
      <c r="A38" s="92" t="s">
        <v>807</v>
      </c>
      <c r="B38" s="153"/>
      <c r="C38" s="410" t="s">
        <v>811</v>
      </c>
      <c r="D38" s="153" t="s">
        <v>37</v>
      </c>
      <c r="E38" s="124">
        <v>1</v>
      </c>
      <c r="F38" s="493">
        <v>10000</v>
      </c>
      <c r="G38" s="491"/>
      <c r="H38" s="492">
        <f t="shared" si="0"/>
        <v>10000</v>
      </c>
    </row>
    <row r="39" spans="1:8" ht="32.4" customHeight="1" thickBot="1" x14ac:dyDescent="0.35">
      <c r="A39" s="92" t="s">
        <v>814</v>
      </c>
      <c r="B39" s="153"/>
      <c r="C39" s="410" t="s">
        <v>812</v>
      </c>
      <c r="D39" s="153" t="s">
        <v>37</v>
      </c>
      <c r="E39" s="124">
        <v>1</v>
      </c>
      <c r="F39" s="493">
        <v>10000</v>
      </c>
      <c r="G39" s="491"/>
      <c r="H39" s="492">
        <f t="shared" si="0"/>
        <v>10000</v>
      </c>
    </row>
    <row r="40" spans="1:8" ht="32.4" customHeight="1" thickBot="1" x14ac:dyDescent="0.35">
      <c r="A40" s="92" t="s">
        <v>815</v>
      </c>
      <c r="B40" s="153"/>
      <c r="C40" s="410" t="s">
        <v>813</v>
      </c>
      <c r="D40" s="153" t="s">
        <v>37</v>
      </c>
      <c r="E40" s="124">
        <v>1</v>
      </c>
      <c r="F40" s="493">
        <v>10000</v>
      </c>
      <c r="G40" s="491"/>
      <c r="H40" s="492">
        <f t="shared" si="0"/>
        <v>10000</v>
      </c>
    </row>
    <row r="41" spans="1:8" ht="28.2" thickBot="1" x14ac:dyDescent="0.35">
      <c r="A41" s="92" t="s">
        <v>816</v>
      </c>
      <c r="B41" s="153"/>
      <c r="C41" s="442" t="s">
        <v>817</v>
      </c>
      <c r="D41" s="153" t="s">
        <v>37</v>
      </c>
      <c r="E41" s="124">
        <v>1</v>
      </c>
      <c r="F41" s="493">
        <v>50000</v>
      </c>
      <c r="G41" s="491"/>
      <c r="H41" s="492">
        <f t="shared" si="0"/>
        <v>50000</v>
      </c>
    </row>
    <row r="42" spans="1:8" ht="30" customHeight="1" thickBot="1" x14ac:dyDescent="0.35">
      <c r="A42" s="92">
        <v>1.2</v>
      </c>
      <c r="B42" s="153"/>
      <c r="C42" s="440" t="s">
        <v>278</v>
      </c>
      <c r="D42" s="153"/>
      <c r="E42" s="124"/>
      <c r="F42" s="735"/>
      <c r="G42" s="736"/>
      <c r="H42" s="737"/>
    </row>
    <row r="43" spans="1:8" ht="27.6" customHeight="1" thickBot="1" x14ac:dyDescent="0.35">
      <c r="A43" s="92" t="s">
        <v>16</v>
      </c>
      <c r="B43" s="153"/>
      <c r="C43" s="410" t="s">
        <v>241</v>
      </c>
      <c r="D43" s="153" t="s">
        <v>240</v>
      </c>
      <c r="E43" s="154">
        <f>E18</f>
        <v>24</v>
      </c>
      <c r="F43" s="493">
        <v>500</v>
      </c>
      <c r="G43" s="491"/>
      <c r="H43" s="492">
        <f>SUM(F43:G43)*E43</f>
        <v>12000</v>
      </c>
    </row>
    <row r="44" spans="1:8" ht="27" customHeight="1" thickBot="1" x14ac:dyDescent="0.35">
      <c r="A44" s="76" t="s">
        <v>17</v>
      </c>
      <c r="B44" s="72"/>
      <c r="C44" s="443" t="s">
        <v>18</v>
      </c>
      <c r="D44" s="445" t="s">
        <v>240</v>
      </c>
      <c r="E44" s="154">
        <f>E43</f>
        <v>24</v>
      </c>
      <c r="F44" s="732">
        <v>500</v>
      </c>
      <c r="G44" s="738"/>
      <c r="H44" s="739">
        <f>SUM(F44:G44)*E44</f>
        <v>12000</v>
      </c>
    </row>
    <row r="45" spans="1:8" ht="15" thickBot="1" x14ac:dyDescent="0.35">
      <c r="A45" s="92" t="s">
        <v>19</v>
      </c>
      <c r="B45" s="72"/>
      <c r="C45" s="444" t="s">
        <v>798</v>
      </c>
      <c r="D45" s="153"/>
      <c r="E45" s="76"/>
      <c r="F45" s="493"/>
      <c r="G45" s="502"/>
      <c r="H45" s="740"/>
    </row>
    <row r="46" spans="1:8" ht="83.4" thickBot="1" x14ac:dyDescent="0.35">
      <c r="A46" s="92" t="s">
        <v>797</v>
      </c>
      <c r="B46" s="153"/>
      <c r="C46" s="410" t="s">
        <v>799</v>
      </c>
      <c r="D46" s="72" t="s">
        <v>240</v>
      </c>
      <c r="E46" s="124">
        <f>E44</f>
        <v>24</v>
      </c>
      <c r="F46" s="493">
        <v>22700</v>
      </c>
      <c r="G46" s="491"/>
      <c r="H46" s="492">
        <f>SUM(F46:G46)*E46</f>
        <v>544800</v>
      </c>
    </row>
    <row r="47" spans="1:8" ht="35.549999999999997" customHeight="1" thickBot="1" x14ac:dyDescent="0.35">
      <c r="A47" s="930" t="s">
        <v>123</v>
      </c>
      <c r="B47" s="931"/>
      <c r="C47" s="931"/>
      <c r="D47" s="931"/>
      <c r="E47" s="931"/>
      <c r="F47" s="931"/>
      <c r="G47" s="932"/>
      <c r="H47" s="731">
        <f>SUM(H27:H46)</f>
        <v>4090800</v>
      </c>
    </row>
    <row r="48" spans="1:8" ht="26.25" customHeight="1" thickBot="1" x14ac:dyDescent="0.35">
      <c r="A48" s="882" t="s">
        <v>0</v>
      </c>
      <c r="B48" s="882" t="s">
        <v>1</v>
      </c>
      <c r="C48" s="892" t="s">
        <v>2</v>
      </c>
      <c r="D48" s="882" t="s">
        <v>3</v>
      </c>
      <c r="E48" s="882" t="s">
        <v>4</v>
      </c>
      <c r="F48" s="886" t="s">
        <v>5</v>
      </c>
      <c r="G48" s="887"/>
      <c r="H48" s="882" t="s">
        <v>6</v>
      </c>
    </row>
    <row r="49" spans="1:8" ht="26.25" customHeight="1" thickBot="1" x14ac:dyDescent="0.35">
      <c r="A49" s="883"/>
      <c r="B49" s="883"/>
      <c r="C49" s="893"/>
      <c r="D49" s="883"/>
      <c r="E49" s="883"/>
      <c r="F49" s="91" t="s">
        <v>7</v>
      </c>
      <c r="G49" s="15" t="s">
        <v>8</v>
      </c>
      <c r="H49" s="883"/>
    </row>
    <row r="50" spans="1:8" ht="35.549999999999997" customHeight="1" thickBot="1" x14ac:dyDescent="0.35">
      <c r="A50" s="930" t="s">
        <v>566</v>
      </c>
      <c r="B50" s="931"/>
      <c r="C50" s="931"/>
      <c r="D50" s="931"/>
      <c r="E50" s="931"/>
      <c r="F50" s="931"/>
      <c r="G50" s="932"/>
      <c r="H50" s="731">
        <f>H47</f>
        <v>4090800</v>
      </c>
    </row>
    <row r="51" spans="1:8" ht="27" customHeight="1" thickBot="1" x14ac:dyDescent="0.35">
      <c r="A51" s="76" t="s">
        <v>20</v>
      </c>
      <c r="B51" s="153"/>
      <c r="C51" s="423" t="s">
        <v>21</v>
      </c>
      <c r="D51" s="445" t="s">
        <v>240</v>
      </c>
      <c r="E51" s="154">
        <f>E44</f>
        <v>24</v>
      </c>
      <c r="F51" s="732">
        <v>15000</v>
      </c>
      <c r="G51" s="733"/>
      <c r="H51" s="734">
        <f>SUM(F51:G51)*E51</f>
        <v>360000</v>
      </c>
    </row>
    <row r="52" spans="1:8" ht="34.200000000000003" customHeight="1" thickBot="1" x14ac:dyDescent="0.35">
      <c r="A52" s="92" t="s">
        <v>22</v>
      </c>
      <c r="B52" s="153"/>
      <c r="C52" s="423" t="s">
        <v>795</v>
      </c>
      <c r="D52" s="153" t="s">
        <v>240</v>
      </c>
      <c r="E52" s="388">
        <f>E51</f>
        <v>24</v>
      </c>
      <c r="F52" s="732">
        <v>10000</v>
      </c>
      <c r="G52" s="733"/>
      <c r="H52" s="734">
        <f>SUM(F52:G52)*E52</f>
        <v>240000</v>
      </c>
    </row>
    <row r="53" spans="1:8" ht="54" customHeight="1" thickBot="1" x14ac:dyDescent="0.35">
      <c r="A53" s="76" t="s">
        <v>282</v>
      </c>
      <c r="B53" s="153"/>
      <c r="C53" s="442" t="s">
        <v>1042</v>
      </c>
      <c r="D53" s="153" t="s">
        <v>37</v>
      </c>
      <c r="E53" s="154">
        <v>1</v>
      </c>
      <c r="F53" s="493">
        <v>300000</v>
      </c>
      <c r="G53" s="491"/>
      <c r="H53" s="492">
        <f t="shared" ref="H53:H56" si="5">SUM(F53:G53)*E53</f>
        <v>300000</v>
      </c>
    </row>
    <row r="54" spans="1:8" ht="34.200000000000003" customHeight="1" thickBot="1" x14ac:dyDescent="0.35">
      <c r="A54" s="92" t="s">
        <v>283</v>
      </c>
      <c r="B54" s="153"/>
      <c r="C54" s="410" t="s">
        <v>551</v>
      </c>
      <c r="D54" s="153" t="s">
        <v>240</v>
      </c>
      <c r="E54" s="388">
        <f>E52</f>
        <v>24</v>
      </c>
      <c r="F54" s="493">
        <v>10500</v>
      </c>
      <c r="G54" s="491"/>
      <c r="H54" s="492">
        <f>SUM(F54:G54)*E54</f>
        <v>252000</v>
      </c>
    </row>
    <row r="55" spans="1:8" ht="34.200000000000003" customHeight="1" thickBot="1" x14ac:dyDescent="0.35">
      <c r="A55" s="76" t="s">
        <v>284</v>
      </c>
      <c r="B55" s="153"/>
      <c r="C55" s="410" t="s">
        <v>552</v>
      </c>
      <c r="D55" s="153" t="s">
        <v>240</v>
      </c>
      <c r="E55" s="388">
        <f>E54</f>
        <v>24</v>
      </c>
      <c r="F55" s="493">
        <v>12913.24</v>
      </c>
      <c r="G55" s="491"/>
      <c r="H55" s="492">
        <f t="shared" si="5"/>
        <v>309917.76</v>
      </c>
    </row>
    <row r="56" spans="1:8" ht="28.2" thickBot="1" x14ac:dyDescent="0.35">
      <c r="A56" s="92" t="s">
        <v>285</v>
      </c>
      <c r="B56" s="153"/>
      <c r="C56" s="410" t="s">
        <v>553</v>
      </c>
      <c r="D56" s="153" t="s">
        <v>37</v>
      </c>
      <c r="E56" s="154">
        <v>3</v>
      </c>
      <c r="F56" s="490">
        <v>15000</v>
      </c>
      <c r="G56" s="491"/>
      <c r="H56" s="492">
        <f t="shared" si="5"/>
        <v>45000</v>
      </c>
    </row>
    <row r="57" spans="1:8" ht="28.2" thickBot="1" x14ac:dyDescent="0.35">
      <c r="A57" s="76" t="s">
        <v>945</v>
      </c>
      <c r="B57" s="153"/>
      <c r="C57" s="410" t="s">
        <v>728</v>
      </c>
      <c r="D57" s="153" t="s">
        <v>240</v>
      </c>
      <c r="E57" s="154">
        <f>E55</f>
        <v>24</v>
      </c>
      <c r="F57" s="490">
        <v>15000</v>
      </c>
      <c r="G57" s="491"/>
      <c r="H57" s="492">
        <f>SUM(F57:G57)*E57</f>
        <v>360000</v>
      </c>
    </row>
    <row r="58" spans="1:8" ht="28.2" thickBot="1" x14ac:dyDescent="0.35">
      <c r="A58" s="76" t="s">
        <v>955</v>
      </c>
      <c r="B58" s="153"/>
      <c r="C58" s="410" t="s">
        <v>956</v>
      </c>
      <c r="D58" s="153" t="s">
        <v>240</v>
      </c>
      <c r="E58" s="154">
        <f>E57</f>
        <v>24</v>
      </c>
      <c r="F58" s="490">
        <v>15000</v>
      </c>
      <c r="G58" s="491"/>
      <c r="H58" s="492">
        <f>SUM(F58:G58)*E58</f>
        <v>360000</v>
      </c>
    </row>
    <row r="59" spans="1:8" ht="15" customHeight="1" thickBot="1" x14ac:dyDescent="0.35">
      <c r="A59" s="92">
        <v>1.3</v>
      </c>
      <c r="B59" s="153"/>
      <c r="C59" s="440" t="s">
        <v>83</v>
      </c>
      <c r="D59" s="153"/>
      <c r="E59" s="154"/>
      <c r="F59" s="93"/>
      <c r="G59" s="94"/>
      <c r="H59" s="413"/>
    </row>
    <row r="60" spans="1:8" ht="55.8" thickBot="1" x14ac:dyDescent="0.35">
      <c r="A60" s="92" t="s">
        <v>23</v>
      </c>
      <c r="B60" s="153"/>
      <c r="C60" s="410" t="s">
        <v>1043</v>
      </c>
      <c r="D60" s="153" t="s">
        <v>13</v>
      </c>
      <c r="E60" s="154">
        <v>1</v>
      </c>
      <c r="F60" s="46">
        <v>55000</v>
      </c>
      <c r="G60" s="78"/>
      <c r="H60" s="492">
        <f>(F60+G60)*E60</f>
        <v>55000</v>
      </c>
    </row>
    <row r="61" spans="1:8" ht="28.2" thickBot="1" x14ac:dyDescent="0.35">
      <c r="A61" s="92" t="s">
        <v>946</v>
      </c>
      <c r="B61" s="153"/>
      <c r="C61" s="410" t="s">
        <v>242</v>
      </c>
      <c r="D61" s="153" t="s">
        <v>13</v>
      </c>
      <c r="E61" s="154">
        <v>1</v>
      </c>
      <c r="F61" s="490">
        <v>50000</v>
      </c>
      <c r="G61" s="491"/>
      <c r="H61" s="492">
        <f>SUM(F61:G61)*E61</f>
        <v>50000</v>
      </c>
    </row>
    <row r="62" spans="1:8" ht="97.2" thickBot="1" x14ac:dyDescent="0.35">
      <c r="A62" s="92" t="s">
        <v>947</v>
      </c>
      <c r="B62" s="153"/>
      <c r="C62" s="420" t="s">
        <v>806</v>
      </c>
      <c r="D62" s="153"/>
      <c r="E62" s="154"/>
      <c r="F62" s="46"/>
      <c r="G62" s="78"/>
      <c r="H62" s="413"/>
    </row>
    <row r="63" spans="1:8" ht="31.2" customHeight="1" thickBot="1" x14ac:dyDescent="0.35">
      <c r="A63" s="92" t="s">
        <v>948</v>
      </c>
      <c r="B63" s="153"/>
      <c r="C63" s="410" t="s">
        <v>805</v>
      </c>
      <c r="D63" s="153" t="s">
        <v>1023</v>
      </c>
      <c r="E63" s="154">
        <v>2</v>
      </c>
      <c r="F63" s="490">
        <v>15000</v>
      </c>
      <c r="G63" s="491"/>
      <c r="H63" s="492">
        <f t="shared" ref="H63:H67" si="6">SUM(F63:G63)*E63</f>
        <v>30000</v>
      </c>
    </row>
    <row r="64" spans="1:8" ht="28.2" customHeight="1" thickBot="1" x14ac:dyDescent="0.35">
      <c r="A64" s="92" t="s">
        <v>949</v>
      </c>
      <c r="B64" s="153"/>
      <c r="C64" s="410" t="s">
        <v>800</v>
      </c>
      <c r="D64" s="153" t="s">
        <v>240</v>
      </c>
      <c r="E64" s="154">
        <f>E58</f>
        <v>24</v>
      </c>
      <c r="F64" s="490">
        <v>500</v>
      </c>
      <c r="G64" s="491"/>
      <c r="H64" s="492">
        <f t="shared" si="6"/>
        <v>12000</v>
      </c>
    </row>
    <row r="65" spans="1:8" ht="31.2" customHeight="1" thickBot="1" x14ac:dyDescent="0.35">
      <c r="A65" s="92" t="s">
        <v>950</v>
      </c>
      <c r="B65" s="153"/>
      <c r="C65" s="410" t="s">
        <v>801</v>
      </c>
      <c r="D65" s="153" t="s">
        <v>240</v>
      </c>
      <c r="E65" s="154">
        <f>E64</f>
        <v>24</v>
      </c>
      <c r="F65" s="490">
        <v>500</v>
      </c>
      <c r="G65" s="491"/>
      <c r="H65" s="492">
        <f t="shared" si="6"/>
        <v>12000</v>
      </c>
    </row>
    <row r="66" spans="1:8" ht="31.2" customHeight="1" thickBot="1" x14ac:dyDescent="0.35">
      <c r="A66" s="92" t="s">
        <v>951</v>
      </c>
      <c r="B66" s="153"/>
      <c r="C66" s="410" t="s">
        <v>802</v>
      </c>
      <c r="D66" s="153" t="s">
        <v>240</v>
      </c>
      <c r="E66" s="154">
        <f t="shared" ref="E66:E67" si="7">E65</f>
        <v>24</v>
      </c>
      <c r="F66" s="490">
        <v>3500</v>
      </c>
      <c r="G66" s="491"/>
      <c r="H66" s="492">
        <f t="shared" si="6"/>
        <v>84000</v>
      </c>
    </row>
    <row r="67" spans="1:8" ht="31.2" customHeight="1" thickBot="1" x14ac:dyDescent="0.35">
      <c r="A67" s="92" t="s">
        <v>952</v>
      </c>
      <c r="B67" s="153"/>
      <c r="C67" s="410" t="s">
        <v>803</v>
      </c>
      <c r="D67" s="153" t="s">
        <v>240</v>
      </c>
      <c r="E67" s="154">
        <f t="shared" si="7"/>
        <v>24</v>
      </c>
      <c r="F67" s="490">
        <v>500</v>
      </c>
      <c r="G67" s="491"/>
      <c r="H67" s="492">
        <f t="shared" si="6"/>
        <v>12000</v>
      </c>
    </row>
    <row r="68" spans="1:8" ht="15" thickBot="1" x14ac:dyDescent="0.35">
      <c r="A68" s="92" t="s">
        <v>953</v>
      </c>
      <c r="B68" s="153"/>
      <c r="C68" s="420" t="s">
        <v>804</v>
      </c>
      <c r="D68" s="153"/>
      <c r="E68" s="154"/>
      <c r="F68" s="490"/>
      <c r="G68" s="491"/>
      <c r="H68" s="492"/>
    </row>
    <row r="69" spans="1:8" ht="42" thickBot="1" x14ac:dyDescent="0.35">
      <c r="A69" s="92" t="s">
        <v>954</v>
      </c>
      <c r="B69" s="153"/>
      <c r="C69" s="410" t="s">
        <v>944</v>
      </c>
      <c r="D69" s="72" t="s">
        <v>240</v>
      </c>
      <c r="E69" s="154">
        <f>E64</f>
        <v>24</v>
      </c>
      <c r="F69" s="490">
        <v>3000</v>
      </c>
      <c r="G69" s="491"/>
      <c r="H69" s="740">
        <f>SUM(F69:G69)*E69</f>
        <v>72000</v>
      </c>
    </row>
    <row r="70" spans="1:8" ht="35.549999999999997" customHeight="1" thickBot="1" x14ac:dyDescent="0.35">
      <c r="A70" s="937" t="s">
        <v>24</v>
      </c>
      <c r="B70" s="938"/>
      <c r="C70" s="938"/>
      <c r="D70" s="938"/>
      <c r="E70" s="938"/>
      <c r="F70" s="28"/>
      <c r="G70" s="208"/>
      <c r="H70" s="861"/>
    </row>
  </sheetData>
  <mergeCells count="33">
    <mergeCell ref="A50:G50"/>
    <mergeCell ref="A70:E70"/>
    <mergeCell ref="H1:H2"/>
    <mergeCell ref="A48:A49"/>
    <mergeCell ref="B48:B49"/>
    <mergeCell ref="C48:C49"/>
    <mergeCell ref="D48:D49"/>
    <mergeCell ref="E48:E49"/>
    <mergeCell ref="F48:G48"/>
    <mergeCell ref="H48:H49"/>
    <mergeCell ref="A47:G47"/>
    <mergeCell ref="A1:A2"/>
    <mergeCell ref="B1:B2"/>
    <mergeCell ref="C1:C2"/>
    <mergeCell ref="D1:D2"/>
    <mergeCell ref="E1:E2"/>
    <mergeCell ref="F1:G1"/>
    <mergeCell ref="H4:H5"/>
    <mergeCell ref="A4:A5"/>
    <mergeCell ref="C4:C5"/>
    <mergeCell ref="D4:D5"/>
    <mergeCell ref="E4:E5"/>
    <mergeCell ref="F4:F5"/>
    <mergeCell ref="G4:G5"/>
    <mergeCell ref="H25:H26"/>
    <mergeCell ref="A27:G27"/>
    <mergeCell ref="A24:G24"/>
    <mergeCell ref="A25:A26"/>
    <mergeCell ref="B25:B26"/>
    <mergeCell ref="C25:C26"/>
    <mergeCell ref="D25:D26"/>
    <mergeCell ref="E25:E26"/>
    <mergeCell ref="F25:G25"/>
  </mergeCells>
  <phoneticPr fontId="3" type="noConversion"/>
  <pageMargins left="0.70866141732283472" right="0.70866141732283472" top="0.74803149606299213" bottom="0.74803149606299213" header="0.31496062992125984" footer="0.31496062992125984"/>
  <pageSetup paperSize="9" scale="68" fitToHeight="0" orientation="portrait" r:id="rId1"/>
  <rowBreaks count="2" manualBreakCount="2">
    <brk id="24" max="7" man="1"/>
    <brk id="47" max="7"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F470F-5CA6-4AF0-919C-1AC539301EB5}">
  <sheetPr>
    <pageSetUpPr fitToPage="1"/>
  </sheetPr>
  <dimension ref="A1:G18"/>
  <sheetViews>
    <sheetView view="pageBreakPreview" zoomScaleNormal="100" zoomScaleSheetLayoutView="100" workbookViewId="0">
      <selection activeCell="G17" sqref="G17"/>
    </sheetView>
  </sheetViews>
  <sheetFormatPr defaultColWidth="8.77734375" defaultRowHeight="13.8" x14ac:dyDescent="0.3"/>
  <cols>
    <col min="1" max="2" width="8.77734375" style="847"/>
    <col min="3" max="3" width="27.33203125" style="847" customWidth="1"/>
    <col min="4" max="5" width="8.77734375" style="847"/>
    <col min="6" max="6" width="10.109375" style="848" customWidth="1"/>
    <col min="7" max="7" width="36.33203125" style="847" customWidth="1"/>
    <col min="8" max="16384" width="8.77734375" style="847"/>
  </cols>
  <sheetData>
    <row r="1" spans="1:7" ht="14.4" thickBot="1" x14ac:dyDescent="0.35"/>
    <row r="2" spans="1:7" ht="27.6" x14ac:dyDescent="0.3">
      <c r="A2" s="939" t="s">
        <v>26</v>
      </c>
      <c r="B2" s="754" t="s">
        <v>27</v>
      </c>
      <c r="C2" s="939" t="s">
        <v>29</v>
      </c>
      <c r="D2" s="939" t="s">
        <v>3</v>
      </c>
      <c r="E2" s="939" t="s">
        <v>4</v>
      </c>
      <c r="F2" s="944" t="s">
        <v>5</v>
      </c>
      <c r="G2" s="939" t="s">
        <v>6</v>
      </c>
    </row>
    <row r="3" spans="1:7" ht="28.2" thickBot="1" x14ac:dyDescent="0.35">
      <c r="A3" s="940"/>
      <c r="B3" s="756" t="s">
        <v>28</v>
      </c>
      <c r="C3" s="940"/>
      <c r="D3" s="940"/>
      <c r="E3" s="940"/>
      <c r="F3" s="945"/>
      <c r="G3" s="940"/>
    </row>
    <row r="4" spans="1:7" ht="14.4" thickBot="1" x14ac:dyDescent="0.35">
      <c r="A4" s="782"/>
      <c r="B4" s="756"/>
      <c r="C4" s="758" t="s">
        <v>114</v>
      </c>
      <c r="D4" s="759"/>
      <c r="E4" s="755"/>
      <c r="F4" s="783"/>
      <c r="G4" s="755"/>
    </row>
    <row r="5" spans="1:7" ht="28.2" thickBot="1" x14ac:dyDescent="0.35">
      <c r="A5" s="784">
        <v>3</v>
      </c>
      <c r="B5" s="761" t="s">
        <v>30</v>
      </c>
      <c r="C5" s="762" t="s">
        <v>31</v>
      </c>
      <c r="D5" s="763"/>
      <c r="E5" s="764"/>
      <c r="F5" s="785"/>
      <c r="G5" s="766"/>
    </row>
    <row r="6" spans="1:7" ht="16.5" customHeight="1" thickBot="1" x14ac:dyDescent="0.35">
      <c r="A6" s="786">
        <v>3.1</v>
      </c>
      <c r="B6" s="846" t="s">
        <v>30</v>
      </c>
      <c r="C6" s="787" t="s">
        <v>33</v>
      </c>
      <c r="D6" s="607"/>
      <c r="E6" s="788"/>
      <c r="F6" s="789"/>
      <c r="G6" s="790"/>
    </row>
    <row r="7" spans="1:7" ht="31.2" customHeight="1" thickBot="1" x14ac:dyDescent="0.35">
      <c r="A7" s="791" t="s">
        <v>167</v>
      </c>
      <c r="B7" s="191"/>
      <c r="C7" s="198" t="s">
        <v>243</v>
      </c>
      <c r="D7" s="778" t="s">
        <v>13</v>
      </c>
      <c r="E7" s="778">
        <v>1</v>
      </c>
      <c r="F7" s="496">
        <v>20000</v>
      </c>
      <c r="G7" s="496">
        <f>F7*E7</f>
        <v>20000</v>
      </c>
    </row>
    <row r="8" spans="1:7" ht="30" customHeight="1" thickBot="1" x14ac:dyDescent="0.35">
      <c r="A8" s="774">
        <v>3.2</v>
      </c>
      <c r="B8" s="191" t="s">
        <v>34</v>
      </c>
      <c r="C8" s="792" t="s">
        <v>1048</v>
      </c>
      <c r="D8" s="776"/>
      <c r="E8" s="793"/>
      <c r="F8" s="794"/>
      <c r="G8" s="198"/>
    </row>
    <row r="9" spans="1:7" ht="37.200000000000003" customHeight="1" thickBot="1" x14ac:dyDescent="0.35">
      <c r="A9" s="778" t="s">
        <v>168</v>
      </c>
      <c r="B9" s="778"/>
      <c r="C9" s="795" t="s">
        <v>1049</v>
      </c>
      <c r="D9" s="778" t="s">
        <v>35</v>
      </c>
      <c r="E9" s="778">
        <f>100*120*2</f>
        <v>24000</v>
      </c>
      <c r="F9" s="496">
        <v>115</v>
      </c>
      <c r="G9" s="496">
        <f>E9*F9</f>
        <v>2760000</v>
      </c>
    </row>
    <row r="10" spans="1:7" ht="60.45" customHeight="1" thickBot="1" x14ac:dyDescent="0.35">
      <c r="A10" s="778" t="s">
        <v>169</v>
      </c>
      <c r="B10" s="778"/>
      <c r="C10" s="795" t="s">
        <v>1050</v>
      </c>
      <c r="D10" s="778" t="s">
        <v>35</v>
      </c>
      <c r="E10" s="778">
        <f>100*120*2.3*1.2</f>
        <v>33119.999999999993</v>
      </c>
      <c r="F10" s="496">
        <v>200</v>
      </c>
      <c r="G10" s="496">
        <f>F10*E10</f>
        <v>6623999.9999999981</v>
      </c>
    </row>
    <row r="11" spans="1:7" ht="53.4" customHeight="1" thickBot="1" x14ac:dyDescent="0.35">
      <c r="A11" s="778" t="s">
        <v>170</v>
      </c>
      <c r="B11" s="778"/>
      <c r="C11" s="795" t="s">
        <v>1051</v>
      </c>
      <c r="D11" s="778" t="s">
        <v>35</v>
      </c>
      <c r="E11" s="778">
        <f>E10</f>
        <v>33119.999999999993</v>
      </c>
      <c r="F11" s="779"/>
      <c r="G11" s="779" t="s">
        <v>1052</v>
      </c>
    </row>
    <row r="12" spans="1:7" ht="42" thickBot="1" x14ac:dyDescent="0.35">
      <c r="A12" s="778" t="s">
        <v>1053</v>
      </c>
      <c r="B12" s="778"/>
      <c r="C12" s="198" t="s">
        <v>517</v>
      </c>
      <c r="D12" s="778" t="s">
        <v>42</v>
      </c>
      <c r="E12" s="778">
        <v>20</v>
      </c>
      <c r="F12" s="496">
        <v>2000</v>
      </c>
      <c r="G12" s="496">
        <f>F12*E12</f>
        <v>40000</v>
      </c>
    </row>
    <row r="13" spans="1:7" ht="31.2" customHeight="1" thickBot="1" x14ac:dyDescent="0.35">
      <c r="A13" s="778" t="s">
        <v>1054</v>
      </c>
      <c r="B13" s="778"/>
      <c r="C13" s="198" t="s">
        <v>826</v>
      </c>
      <c r="D13" s="796" t="s">
        <v>1055</v>
      </c>
      <c r="E13" s="778">
        <v>1000</v>
      </c>
      <c r="F13" s="496">
        <v>200</v>
      </c>
      <c r="G13" s="496">
        <f>F13*E13</f>
        <v>200000</v>
      </c>
    </row>
    <row r="14" spans="1:7" ht="16.5" customHeight="1" thickBot="1" x14ac:dyDescent="0.35">
      <c r="A14" s="774" t="s">
        <v>1056</v>
      </c>
      <c r="B14" s="778"/>
      <c r="C14" s="797" t="s">
        <v>725</v>
      </c>
      <c r="D14" s="776"/>
      <c r="E14" s="776"/>
      <c r="F14" s="798"/>
      <c r="G14" s="198"/>
    </row>
    <row r="15" spans="1:7" ht="31.2" customHeight="1" thickBot="1" x14ac:dyDescent="0.35">
      <c r="A15" s="778" t="s">
        <v>171</v>
      </c>
      <c r="B15" s="778"/>
      <c r="C15" s="198" t="s">
        <v>1058</v>
      </c>
      <c r="D15" s="778" t="s">
        <v>215</v>
      </c>
      <c r="E15" s="778">
        <f>(E9/6)*10*0.8</f>
        <v>32000</v>
      </c>
      <c r="F15" s="496">
        <v>15</v>
      </c>
      <c r="G15" s="496">
        <f>F15*E15</f>
        <v>480000</v>
      </c>
    </row>
    <row r="16" spans="1:7" ht="31.2" customHeight="1" thickBot="1" x14ac:dyDescent="0.35">
      <c r="A16" s="778" t="s">
        <v>1057</v>
      </c>
      <c r="B16" s="778"/>
      <c r="C16" s="198" t="s">
        <v>216</v>
      </c>
      <c r="D16" s="778" t="s">
        <v>215</v>
      </c>
      <c r="E16" s="778">
        <f>(E9/6)*20*0.2</f>
        <v>16000</v>
      </c>
      <c r="F16" s="496">
        <v>15</v>
      </c>
      <c r="G16" s="496">
        <f>F16*E16</f>
        <v>240000</v>
      </c>
    </row>
    <row r="17" spans="1:7" ht="35.549999999999997" customHeight="1" thickBot="1" x14ac:dyDescent="0.35">
      <c r="A17" s="941" t="s">
        <v>554</v>
      </c>
      <c r="B17" s="942"/>
      <c r="C17" s="942"/>
      <c r="D17" s="942"/>
      <c r="E17" s="942"/>
      <c r="F17" s="943"/>
      <c r="G17" s="862"/>
    </row>
    <row r="18" spans="1:7" ht="15" hidden="1" customHeight="1" x14ac:dyDescent="0.3">
      <c r="A18" s="652"/>
      <c r="B18" s="653"/>
      <c r="C18" s="653"/>
      <c r="D18" s="653"/>
      <c r="E18" s="653"/>
      <c r="F18" s="654"/>
      <c r="G18" s="655"/>
    </row>
  </sheetData>
  <mergeCells count="7">
    <mergeCell ref="G2:G3"/>
    <mergeCell ref="A17:F17"/>
    <mergeCell ref="A2:A3"/>
    <mergeCell ref="C2:C3"/>
    <mergeCell ref="D2:D3"/>
    <mergeCell ref="E2:E3"/>
    <mergeCell ref="F2:F3"/>
  </mergeCells>
  <pageMargins left="0.70866141732283472" right="0.70866141732283472" top="0.74803149606299213" bottom="0.74803149606299213" header="0.31496062992125984" footer="0.31496062992125984"/>
  <pageSetup paperSize="9" scale="80" fitToHeight="0"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488FF-9FD2-4C11-B4AD-A793A844D3FE}">
  <sheetPr>
    <pageSetUpPr fitToPage="1"/>
  </sheetPr>
  <dimension ref="A1:H14"/>
  <sheetViews>
    <sheetView view="pageBreakPreview" zoomScaleNormal="100" zoomScaleSheetLayoutView="100" workbookViewId="0">
      <selection activeCell="G13" sqref="G13"/>
    </sheetView>
  </sheetViews>
  <sheetFormatPr defaultColWidth="8.77734375" defaultRowHeight="14.4" x14ac:dyDescent="0.3"/>
  <cols>
    <col min="1" max="1" width="8.77734375" style="142"/>
    <col min="2" max="2" width="8.77734375" style="389"/>
    <col min="3" max="3" width="33.88671875" style="142" customWidth="1"/>
    <col min="4" max="5" width="8.77734375" style="142"/>
    <col min="6" max="6" width="11.6640625" style="142" customWidth="1"/>
    <col min="7" max="7" width="36.33203125" style="142" customWidth="1"/>
    <col min="8" max="16384" width="8.77734375" style="142"/>
  </cols>
  <sheetData>
    <row r="1" spans="1:8" ht="15" thickBot="1" x14ac:dyDescent="0.35"/>
    <row r="2" spans="1:8" ht="27.6" x14ac:dyDescent="0.3">
      <c r="A2" s="939" t="s">
        <v>26</v>
      </c>
      <c r="B2" s="754" t="s">
        <v>27</v>
      </c>
      <c r="C2" s="939" t="s">
        <v>29</v>
      </c>
      <c r="D2" s="939" t="s">
        <v>3</v>
      </c>
      <c r="E2" s="939" t="s">
        <v>4</v>
      </c>
      <c r="F2" s="939" t="s">
        <v>5</v>
      </c>
      <c r="G2" s="939" t="s">
        <v>6</v>
      </c>
    </row>
    <row r="3" spans="1:8" ht="28.2" thickBot="1" x14ac:dyDescent="0.35">
      <c r="A3" s="940"/>
      <c r="B3" s="756" t="s">
        <v>28</v>
      </c>
      <c r="C3" s="940"/>
      <c r="D3" s="940"/>
      <c r="E3" s="940"/>
      <c r="F3" s="940"/>
      <c r="G3" s="940"/>
    </row>
    <row r="4" spans="1:8" ht="15" thickBot="1" x14ac:dyDescent="0.35">
      <c r="A4" s="757">
        <v>2</v>
      </c>
      <c r="B4" s="845"/>
      <c r="C4" s="758" t="s">
        <v>113</v>
      </c>
      <c r="D4" s="759"/>
      <c r="E4" s="755"/>
      <c r="F4" s="759"/>
      <c r="G4" s="755"/>
    </row>
    <row r="5" spans="1:8" ht="28.2" thickBot="1" x14ac:dyDescent="0.35">
      <c r="A5" s="760">
        <v>2.2000000000000002</v>
      </c>
      <c r="B5" s="846" t="s">
        <v>30</v>
      </c>
      <c r="C5" s="762" t="s">
        <v>96</v>
      </c>
      <c r="D5" s="763"/>
      <c r="E5" s="764"/>
      <c r="F5" s="765"/>
      <c r="G5" s="766"/>
    </row>
    <row r="6" spans="1:8" ht="55.2" x14ac:dyDescent="0.3">
      <c r="A6" s="767"/>
      <c r="B6" s="194"/>
      <c r="C6" s="768" t="s">
        <v>1046</v>
      </c>
      <c r="D6" s="769"/>
      <c r="E6" s="770"/>
      <c r="F6" s="771"/>
      <c r="G6" s="772"/>
    </row>
    <row r="7" spans="1:8" ht="69.599999999999994" thickBot="1" x14ac:dyDescent="0.35">
      <c r="A7" s="767"/>
      <c r="B7" s="194"/>
      <c r="C7" s="773" t="s">
        <v>84</v>
      </c>
      <c r="D7" s="769"/>
      <c r="E7" s="770"/>
      <c r="F7" s="771"/>
      <c r="G7" s="772"/>
    </row>
    <row r="8" spans="1:8" ht="28.2" thickBot="1" x14ac:dyDescent="0.35">
      <c r="A8" s="774" t="s">
        <v>32</v>
      </c>
      <c r="B8" s="843" t="s">
        <v>30</v>
      </c>
      <c r="C8" s="775" t="s">
        <v>33</v>
      </c>
      <c r="D8" s="776"/>
      <c r="E8" s="776"/>
      <c r="F8" s="777"/>
      <c r="G8" s="198"/>
    </row>
    <row r="9" spans="1:8" ht="55.8" thickBot="1" x14ac:dyDescent="0.35">
      <c r="A9" s="778" t="s">
        <v>244</v>
      </c>
      <c r="B9" s="191"/>
      <c r="C9" s="198" t="s">
        <v>825</v>
      </c>
      <c r="D9" s="778" t="s">
        <v>1047</v>
      </c>
      <c r="E9" s="778">
        <f>150*150</f>
        <v>22500</v>
      </c>
      <c r="F9" s="496">
        <v>35</v>
      </c>
      <c r="G9" s="496">
        <f>F9*E9</f>
        <v>787500</v>
      </c>
      <c r="H9" s="386"/>
    </row>
    <row r="10" spans="1:8" ht="28.2" thickBot="1" x14ac:dyDescent="0.35">
      <c r="A10" s="778" t="s">
        <v>957</v>
      </c>
      <c r="B10" s="191"/>
      <c r="C10" s="198" t="s">
        <v>823</v>
      </c>
      <c r="D10" s="778" t="s">
        <v>1047</v>
      </c>
      <c r="E10" s="778">
        <f>150*150</f>
        <v>22500</v>
      </c>
      <c r="F10" s="496">
        <v>15</v>
      </c>
      <c r="G10" s="496">
        <f>F10*E10</f>
        <v>337500</v>
      </c>
      <c r="H10" s="386"/>
    </row>
    <row r="11" spans="1:8" ht="51.75" customHeight="1" thickBot="1" x14ac:dyDescent="0.35">
      <c r="A11" s="778" t="s">
        <v>958</v>
      </c>
      <c r="B11" s="191"/>
      <c r="C11" s="198" t="s">
        <v>214</v>
      </c>
      <c r="D11" s="780"/>
      <c r="E11" s="780"/>
      <c r="F11" s="781"/>
      <c r="G11" s="781"/>
    </row>
    <row r="12" spans="1:8" ht="28.2" thickBot="1" x14ac:dyDescent="0.35">
      <c r="A12" s="778" t="s">
        <v>959</v>
      </c>
      <c r="B12" s="191" t="s">
        <v>286</v>
      </c>
      <c r="C12" s="198" t="s">
        <v>824</v>
      </c>
      <c r="D12" s="778" t="s">
        <v>35</v>
      </c>
      <c r="E12" s="778">
        <f>0.15*150*150</f>
        <v>3375</v>
      </c>
      <c r="F12" s="496">
        <v>60</v>
      </c>
      <c r="G12" s="496">
        <f>F12*E12</f>
        <v>202500</v>
      </c>
    </row>
    <row r="13" spans="1:8" ht="35.549999999999997" customHeight="1" thickBot="1" x14ac:dyDescent="0.35">
      <c r="A13" s="946" t="s">
        <v>555</v>
      </c>
      <c r="B13" s="947"/>
      <c r="C13" s="947"/>
      <c r="D13" s="947"/>
      <c r="E13" s="947"/>
      <c r="F13" s="948"/>
      <c r="G13" s="861"/>
    </row>
    <row r="14" spans="1:8" x14ac:dyDescent="0.3">
      <c r="G14" s="672"/>
    </row>
  </sheetData>
  <mergeCells count="7">
    <mergeCell ref="G2:G3"/>
    <mergeCell ref="A13:F13"/>
    <mergeCell ref="A2:A3"/>
    <mergeCell ref="C2:C3"/>
    <mergeCell ref="D2:D3"/>
    <mergeCell ref="E2:E3"/>
    <mergeCell ref="F2:F3"/>
  </mergeCells>
  <pageMargins left="0.70866141732283472" right="0.70866141732283472" top="0.74803149606299213" bottom="0.74803149606299213" header="0.31496062992125984" footer="0.31496062992125984"/>
  <pageSetup paperSize="9" scale="74" fitToHeight="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H14"/>
  <sheetViews>
    <sheetView view="pageBreakPreview" zoomScaleNormal="100" zoomScaleSheetLayoutView="100" workbookViewId="0">
      <selection activeCell="E18" sqref="E18"/>
    </sheetView>
  </sheetViews>
  <sheetFormatPr defaultColWidth="8.77734375" defaultRowHeight="14.4" x14ac:dyDescent="0.3"/>
  <cols>
    <col min="1" max="2" width="8.77734375" style="142"/>
    <col min="3" max="3" width="33.88671875" style="142" customWidth="1"/>
    <col min="4" max="5" width="8.77734375" style="142"/>
    <col min="6" max="6" width="11.6640625" style="142" customWidth="1"/>
    <col min="7" max="7" width="36.33203125" style="142" customWidth="1"/>
    <col min="8" max="16384" width="8.77734375" style="142"/>
  </cols>
  <sheetData>
    <row r="1" spans="1:8" ht="15" thickBot="1" x14ac:dyDescent="0.35"/>
    <row r="2" spans="1:8" ht="27.6" x14ac:dyDescent="0.3">
      <c r="A2" s="949" t="s">
        <v>26</v>
      </c>
      <c r="B2" s="618" t="s">
        <v>27</v>
      </c>
      <c r="C2" s="949" t="s">
        <v>29</v>
      </c>
      <c r="D2" s="949" t="s">
        <v>3</v>
      </c>
      <c r="E2" s="949" t="s">
        <v>4</v>
      </c>
      <c r="F2" s="949" t="s">
        <v>5</v>
      </c>
      <c r="G2" s="949" t="s">
        <v>6</v>
      </c>
    </row>
    <row r="3" spans="1:8" ht="28.2" thickBot="1" x14ac:dyDescent="0.35">
      <c r="A3" s="950"/>
      <c r="B3" s="620" t="s">
        <v>28</v>
      </c>
      <c r="C3" s="950"/>
      <c r="D3" s="950"/>
      <c r="E3" s="950"/>
      <c r="F3" s="950"/>
      <c r="G3" s="950"/>
    </row>
    <row r="4" spans="1:8" ht="15" thickBot="1" x14ac:dyDescent="0.35">
      <c r="A4" s="656">
        <v>2</v>
      </c>
      <c r="B4" s="620"/>
      <c r="C4" s="622" t="s">
        <v>113</v>
      </c>
      <c r="D4" s="623"/>
      <c r="E4" s="619"/>
      <c r="F4" s="623"/>
      <c r="G4" s="619"/>
    </row>
    <row r="5" spans="1:8" ht="28.2" thickBot="1" x14ac:dyDescent="0.35">
      <c r="A5" s="657">
        <v>2.2000000000000002</v>
      </c>
      <c r="B5" s="626" t="s">
        <v>30</v>
      </c>
      <c r="C5" s="627" t="s">
        <v>96</v>
      </c>
      <c r="D5" s="628"/>
      <c r="E5" s="144"/>
      <c r="F5" s="658"/>
      <c r="G5" s="630"/>
    </row>
    <row r="6" spans="1:8" ht="55.2" x14ac:dyDescent="0.3">
      <c r="A6" s="659"/>
      <c r="B6" s="660"/>
      <c r="C6" s="661" t="s">
        <v>1027</v>
      </c>
      <c r="D6" s="662"/>
      <c r="E6" s="663"/>
      <c r="F6" s="664"/>
      <c r="G6" s="665"/>
    </row>
    <row r="7" spans="1:8" ht="69.599999999999994" thickBot="1" x14ac:dyDescent="0.35">
      <c r="A7" s="659"/>
      <c r="B7" s="660"/>
      <c r="C7" s="666" t="s">
        <v>84</v>
      </c>
      <c r="D7" s="662"/>
      <c r="E7" s="663"/>
      <c r="F7" s="664"/>
      <c r="G7" s="665"/>
    </row>
    <row r="8" spans="1:8" ht="28.2" thickBot="1" x14ac:dyDescent="0.35">
      <c r="A8" s="641" t="s">
        <v>32</v>
      </c>
      <c r="B8" s="641" t="s">
        <v>30</v>
      </c>
      <c r="C8" s="667" t="s">
        <v>33</v>
      </c>
      <c r="D8" s="643"/>
      <c r="E8" s="643"/>
      <c r="F8" s="668"/>
      <c r="G8" s="639"/>
    </row>
    <row r="9" spans="1:8" ht="55.8" thickBot="1" x14ac:dyDescent="0.35">
      <c r="A9" s="638" t="s">
        <v>244</v>
      </c>
      <c r="B9" s="638"/>
      <c r="C9" s="639" t="s">
        <v>825</v>
      </c>
      <c r="D9" s="638" t="s">
        <v>1028</v>
      </c>
      <c r="E9" s="638">
        <f>150*150</f>
        <v>22500</v>
      </c>
      <c r="F9" s="640">
        <v>18.649999999999999</v>
      </c>
      <c r="G9" s="640">
        <f>F9*E9</f>
        <v>419624.99999999994</v>
      </c>
      <c r="H9" s="386"/>
    </row>
    <row r="10" spans="1:8" ht="28.2" thickBot="1" x14ac:dyDescent="0.35">
      <c r="A10" s="638" t="s">
        <v>957</v>
      </c>
      <c r="B10" s="638"/>
      <c r="C10" s="639" t="s">
        <v>823</v>
      </c>
      <c r="D10" s="638" t="s">
        <v>1028</v>
      </c>
      <c r="E10" s="638">
        <f>150*150</f>
        <v>22500</v>
      </c>
      <c r="F10" s="640">
        <v>15</v>
      </c>
      <c r="G10" s="640">
        <f>F10*E10</f>
        <v>337500</v>
      </c>
      <c r="H10" s="386"/>
    </row>
    <row r="11" spans="1:8" ht="51.75" customHeight="1" thickBot="1" x14ac:dyDescent="0.35">
      <c r="A11" s="638" t="s">
        <v>958</v>
      </c>
      <c r="B11" s="638"/>
      <c r="C11" s="639" t="s">
        <v>214</v>
      </c>
      <c r="D11" s="669"/>
      <c r="E11" s="669"/>
      <c r="F11" s="670"/>
      <c r="G11" s="670"/>
    </row>
    <row r="12" spans="1:8" ht="28.2" thickBot="1" x14ac:dyDescent="0.35">
      <c r="A12" s="638" t="s">
        <v>959</v>
      </c>
      <c r="B12" s="638" t="s">
        <v>286</v>
      </c>
      <c r="C12" s="639" t="s">
        <v>824</v>
      </c>
      <c r="D12" s="638" t="s">
        <v>35</v>
      </c>
      <c r="E12" s="638">
        <f>0.15*150*150</f>
        <v>3375</v>
      </c>
      <c r="F12" s="640">
        <v>55</v>
      </c>
      <c r="G12" s="640">
        <f>F12*E12</f>
        <v>185625</v>
      </c>
    </row>
    <row r="13" spans="1:8" ht="35.549999999999997" customHeight="1" thickBot="1" x14ac:dyDescent="0.35">
      <c r="A13" s="951" t="s">
        <v>555</v>
      </c>
      <c r="B13" s="952"/>
      <c r="C13" s="952"/>
      <c r="D13" s="952"/>
      <c r="E13" s="952"/>
      <c r="F13" s="953"/>
      <c r="G13" s="671">
        <f>SUM(G9:G12)</f>
        <v>942750</v>
      </c>
    </row>
    <row r="14" spans="1:8" x14ac:dyDescent="0.3">
      <c r="G14" s="672"/>
    </row>
  </sheetData>
  <mergeCells count="7">
    <mergeCell ref="G2:G3"/>
    <mergeCell ref="A13:F13"/>
    <mergeCell ref="A2:A3"/>
    <mergeCell ref="C2:C3"/>
    <mergeCell ref="D2:D3"/>
    <mergeCell ref="E2:E3"/>
    <mergeCell ref="F2:F3"/>
  </mergeCells>
  <phoneticPr fontId="18" type="noConversion"/>
  <pageMargins left="0.70866141732283472" right="0.70866141732283472" top="0.74803149606299213" bottom="0.74803149606299213" header="0.31496062992125984" footer="0.31496062992125984"/>
  <pageSetup paperSize="9" scale="74" fitToHeight="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G19"/>
  <sheetViews>
    <sheetView view="pageBreakPreview" zoomScaleNormal="100" zoomScaleSheetLayoutView="100" workbookViewId="0">
      <selection activeCell="C11" sqref="C11"/>
    </sheetView>
  </sheetViews>
  <sheetFormatPr defaultColWidth="8.77734375" defaultRowHeight="14.4" x14ac:dyDescent="0.3"/>
  <cols>
    <col min="1" max="2" width="8.77734375" style="142"/>
    <col min="3" max="3" width="27.33203125" style="142" customWidth="1"/>
    <col min="4" max="5" width="8.77734375" style="142"/>
    <col min="6" max="6" width="10.109375" style="617" customWidth="1"/>
    <col min="7" max="7" width="36.33203125" style="142" customWidth="1"/>
    <col min="8" max="16384" width="8.77734375" style="142"/>
  </cols>
  <sheetData>
    <row r="1" spans="1:7" ht="15" thickBot="1" x14ac:dyDescent="0.35">
      <c r="A1" s="616"/>
    </row>
    <row r="2" spans="1:7" ht="27.6" x14ac:dyDescent="0.3">
      <c r="A2" s="949" t="s">
        <v>26</v>
      </c>
      <c r="B2" s="618" t="s">
        <v>27</v>
      </c>
      <c r="C2" s="949" t="s">
        <v>29</v>
      </c>
      <c r="D2" s="949" t="s">
        <v>3</v>
      </c>
      <c r="E2" s="949" t="s">
        <v>4</v>
      </c>
      <c r="F2" s="960" t="s">
        <v>5</v>
      </c>
      <c r="G2" s="949" t="s">
        <v>6</v>
      </c>
    </row>
    <row r="3" spans="1:7" ht="28.2" thickBot="1" x14ac:dyDescent="0.35">
      <c r="A3" s="950"/>
      <c r="B3" s="620" t="s">
        <v>28</v>
      </c>
      <c r="C3" s="950"/>
      <c r="D3" s="950"/>
      <c r="E3" s="950"/>
      <c r="F3" s="961"/>
      <c r="G3" s="950"/>
    </row>
    <row r="4" spans="1:7" ht="15" thickBot="1" x14ac:dyDescent="0.35">
      <c r="A4" s="621"/>
      <c r="B4" s="620"/>
      <c r="C4" s="622" t="s">
        <v>114</v>
      </c>
      <c r="D4" s="623"/>
      <c r="E4" s="619"/>
      <c r="F4" s="624"/>
      <c r="G4" s="619"/>
    </row>
    <row r="5" spans="1:7" ht="28.2" thickBot="1" x14ac:dyDescent="0.35">
      <c r="A5" s="625">
        <v>3</v>
      </c>
      <c r="B5" s="626" t="s">
        <v>30</v>
      </c>
      <c r="C5" s="627" t="s">
        <v>31</v>
      </c>
      <c r="D5" s="628"/>
      <c r="E5" s="144"/>
      <c r="F5" s="629"/>
      <c r="G5" s="630"/>
    </row>
    <row r="6" spans="1:7" ht="16.5" customHeight="1" thickBot="1" x14ac:dyDescent="0.35">
      <c r="A6" s="631">
        <v>3.1</v>
      </c>
      <c r="B6" s="626" t="s">
        <v>30</v>
      </c>
      <c r="C6" s="632" t="s">
        <v>33</v>
      </c>
      <c r="D6" s="633"/>
      <c r="E6" s="634"/>
      <c r="F6" s="635"/>
      <c r="G6" s="636"/>
    </row>
    <row r="7" spans="1:7" ht="31.2" customHeight="1" thickBot="1" x14ac:dyDescent="0.35">
      <c r="A7" s="637" t="s">
        <v>167</v>
      </c>
      <c r="B7" s="638"/>
      <c r="C7" s="639" t="s">
        <v>243</v>
      </c>
      <c r="D7" s="638" t="s">
        <v>13</v>
      </c>
      <c r="E7" s="638">
        <v>1</v>
      </c>
      <c r="F7" s="640">
        <v>11484</v>
      </c>
      <c r="G7" s="640">
        <f>F7*E7</f>
        <v>11484</v>
      </c>
    </row>
    <row r="8" spans="1:7" ht="30" customHeight="1" thickBot="1" x14ac:dyDescent="0.35">
      <c r="A8" s="641">
        <v>3.2</v>
      </c>
      <c r="B8" s="638" t="s">
        <v>34</v>
      </c>
      <c r="C8" s="642" t="s">
        <v>1024</v>
      </c>
      <c r="D8" s="643"/>
      <c r="E8" s="644"/>
      <c r="F8" s="645"/>
      <c r="G8" s="639"/>
    </row>
    <row r="9" spans="1:7" ht="31.2" customHeight="1" thickBot="1" x14ac:dyDescent="0.35">
      <c r="A9" s="638" t="s">
        <v>168</v>
      </c>
      <c r="B9" s="638"/>
      <c r="C9" s="646" t="s">
        <v>727</v>
      </c>
      <c r="D9" s="638" t="s">
        <v>35</v>
      </c>
      <c r="E9" s="638">
        <f>100*120*1.5</f>
        <v>18000</v>
      </c>
      <c r="F9" s="640">
        <v>400</v>
      </c>
      <c r="G9" s="640">
        <f>E9*F9</f>
        <v>7200000</v>
      </c>
    </row>
    <row r="10" spans="1:7" ht="42" thickBot="1" x14ac:dyDescent="0.35">
      <c r="A10" s="638" t="s">
        <v>169</v>
      </c>
      <c r="B10" s="638"/>
      <c r="C10" s="639" t="s">
        <v>517</v>
      </c>
      <c r="D10" s="638" t="s">
        <v>42</v>
      </c>
      <c r="E10" s="638">
        <v>20</v>
      </c>
      <c r="F10" s="640">
        <v>4500</v>
      </c>
      <c r="G10" s="640">
        <f>F10*E10</f>
        <v>90000</v>
      </c>
    </row>
    <row r="11" spans="1:7" ht="31.2" customHeight="1" thickBot="1" x14ac:dyDescent="0.35">
      <c r="A11" s="638" t="s">
        <v>170</v>
      </c>
      <c r="B11" s="638"/>
      <c r="C11" s="639" t="s">
        <v>826</v>
      </c>
      <c r="D11" s="647" t="s">
        <v>1025</v>
      </c>
      <c r="E11" s="638">
        <v>1000</v>
      </c>
      <c r="F11" s="640">
        <v>145</v>
      </c>
      <c r="G11" s="640">
        <f>F11*E11</f>
        <v>145000</v>
      </c>
    </row>
    <row r="12" spans="1:7" ht="27" customHeight="1" thickBot="1" x14ac:dyDescent="0.35">
      <c r="A12" s="641">
        <v>3.3</v>
      </c>
      <c r="B12" s="638"/>
      <c r="C12" s="648" t="s">
        <v>724</v>
      </c>
      <c r="D12" s="643"/>
      <c r="E12" s="643"/>
      <c r="F12" s="649"/>
      <c r="G12" s="639"/>
    </row>
    <row r="13" spans="1:7" ht="31.2" customHeight="1" thickBot="1" x14ac:dyDescent="0.35">
      <c r="A13" s="958" t="s">
        <v>171</v>
      </c>
      <c r="B13" s="958"/>
      <c r="C13" s="959" t="s">
        <v>726</v>
      </c>
      <c r="D13" s="958" t="s">
        <v>287</v>
      </c>
      <c r="E13" s="958">
        <f>640*5</f>
        <v>3200</v>
      </c>
      <c r="F13" s="957">
        <v>150</v>
      </c>
      <c r="G13" s="957">
        <f>F13*E13</f>
        <v>480000</v>
      </c>
    </row>
    <row r="14" spans="1:7" ht="15" thickBot="1" x14ac:dyDescent="0.35">
      <c r="A14" s="958"/>
      <c r="B14" s="958"/>
      <c r="C14" s="959"/>
      <c r="D14" s="958"/>
      <c r="E14" s="958"/>
      <c r="F14" s="957"/>
      <c r="G14" s="957"/>
    </row>
    <row r="15" spans="1:7" ht="16.5" customHeight="1" thickBot="1" x14ac:dyDescent="0.35">
      <c r="A15" s="641">
        <v>3.4</v>
      </c>
      <c r="B15" s="638"/>
      <c r="C15" s="648" t="s">
        <v>725</v>
      </c>
      <c r="D15" s="643"/>
      <c r="E15" s="643"/>
      <c r="F15" s="649"/>
      <c r="G15" s="639"/>
    </row>
    <row r="16" spans="1:7" ht="31.2" customHeight="1" thickBot="1" x14ac:dyDescent="0.35">
      <c r="A16" s="638" t="s">
        <v>172</v>
      </c>
      <c r="B16" s="638"/>
      <c r="C16" s="639" t="s">
        <v>1026</v>
      </c>
      <c r="D16" s="638" t="s">
        <v>215</v>
      </c>
      <c r="E16" s="638">
        <v>4000</v>
      </c>
      <c r="F16" s="640">
        <v>14.7</v>
      </c>
      <c r="G16" s="640">
        <f>F16*E16</f>
        <v>58800</v>
      </c>
    </row>
    <row r="17" spans="1:7" ht="31.2" customHeight="1" thickBot="1" x14ac:dyDescent="0.35">
      <c r="A17" s="638" t="s">
        <v>245</v>
      </c>
      <c r="B17" s="638"/>
      <c r="C17" s="639" t="s">
        <v>216</v>
      </c>
      <c r="D17" s="638" t="s">
        <v>215</v>
      </c>
      <c r="E17" s="638">
        <v>2500</v>
      </c>
      <c r="F17" s="640">
        <v>14.7</v>
      </c>
      <c r="G17" s="640">
        <f>F17*E17</f>
        <v>36750</v>
      </c>
    </row>
    <row r="18" spans="1:7" s="651" customFormat="1" ht="35.549999999999997" customHeight="1" thickBot="1" x14ac:dyDescent="0.35">
      <c r="A18" s="954" t="s">
        <v>554</v>
      </c>
      <c r="B18" s="955"/>
      <c r="C18" s="955"/>
      <c r="D18" s="955"/>
      <c r="E18" s="955"/>
      <c r="F18" s="956"/>
      <c r="G18" s="650">
        <f>SUM(G7:G17)</f>
        <v>8022034</v>
      </c>
    </row>
    <row r="19" spans="1:7" ht="15" hidden="1" customHeight="1" x14ac:dyDescent="0.3">
      <c r="A19" s="652"/>
      <c r="B19" s="653"/>
      <c r="C19" s="653"/>
      <c r="D19" s="653"/>
      <c r="E19" s="653"/>
      <c r="F19" s="654"/>
      <c r="G19" s="655"/>
    </row>
  </sheetData>
  <mergeCells count="14">
    <mergeCell ref="G2:G3"/>
    <mergeCell ref="A2:A3"/>
    <mergeCell ref="C2:C3"/>
    <mergeCell ref="D2:D3"/>
    <mergeCell ref="E2:E3"/>
    <mergeCell ref="F2:F3"/>
    <mergeCell ref="A18:F18"/>
    <mergeCell ref="G13:G14"/>
    <mergeCell ref="A13:A14"/>
    <mergeCell ref="B13:B14"/>
    <mergeCell ref="C13:C14"/>
    <mergeCell ref="D13:D14"/>
    <mergeCell ref="E13:E14"/>
    <mergeCell ref="F13:F14"/>
  </mergeCells>
  <pageMargins left="0.70866141732283472" right="0.70866141732283472" top="0.74803149606299213" bottom="0.74803149606299213" header="0.31496062992125984" footer="0.31496062992125984"/>
  <pageSetup paperSize="9" scale="80" fitToHeight="0"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CE35C-52F4-4BF6-B311-7AB84851E757}">
  <sheetPr>
    <pageSetUpPr fitToPage="1"/>
  </sheetPr>
  <dimension ref="A1:G17"/>
  <sheetViews>
    <sheetView tabSelected="1" view="pageBreakPreview" topLeftCell="A10" zoomScaleNormal="100" zoomScaleSheetLayoutView="100" workbookViewId="0">
      <selection activeCell="G17" sqref="G17"/>
    </sheetView>
  </sheetViews>
  <sheetFormatPr defaultColWidth="8.77734375" defaultRowHeight="14.4" x14ac:dyDescent="0.3"/>
  <cols>
    <col min="1" max="1" width="7" style="142" customWidth="1"/>
    <col min="2" max="2" width="7.5546875" style="389" customWidth="1"/>
    <col min="3" max="3" width="30.5546875" style="142" customWidth="1"/>
    <col min="4" max="4" width="8.77734375" style="142"/>
    <col min="5" max="5" width="9.21875" style="142" bestFit="1" customWidth="1"/>
    <col min="6" max="6" width="12.109375" style="142" customWidth="1"/>
    <col min="7" max="7" width="36.33203125" style="672" customWidth="1"/>
    <col min="8" max="16384" width="8.77734375" style="142"/>
  </cols>
  <sheetData>
    <row r="1" spans="1:7" ht="15" thickBot="1" x14ac:dyDescent="0.35"/>
    <row r="2" spans="1:7" ht="27.6" x14ac:dyDescent="0.3">
      <c r="A2" s="939" t="s">
        <v>26</v>
      </c>
      <c r="B2" s="844" t="s">
        <v>27</v>
      </c>
      <c r="C2" s="939" t="s">
        <v>29</v>
      </c>
      <c r="D2" s="939" t="s">
        <v>3</v>
      </c>
      <c r="E2" s="939" t="s">
        <v>4</v>
      </c>
      <c r="F2" s="939" t="s">
        <v>5</v>
      </c>
      <c r="G2" s="962" t="s">
        <v>6</v>
      </c>
    </row>
    <row r="3" spans="1:7" ht="28.2" thickBot="1" x14ac:dyDescent="0.35">
      <c r="A3" s="940"/>
      <c r="B3" s="845" t="s">
        <v>28</v>
      </c>
      <c r="C3" s="940"/>
      <c r="D3" s="940"/>
      <c r="E3" s="940"/>
      <c r="F3" s="940"/>
      <c r="G3" s="963"/>
    </row>
    <row r="4" spans="1:7" ht="15" thickBot="1" x14ac:dyDescent="0.35">
      <c r="A4" s="782"/>
      <c r="B4" s="845"/>
      <c r="C4" s="758" t="s">
        <v>115</v>
      </c>
      <c r="D4" s="759"/>
      <c r="E4" s="755"/>
      <c r="F4" s="759"/>
      <c r="G4" s="799"/>
    </row>
    <row r="5" spans="1:7" ht="28.2" thickBot="1" x14ac:dyDescent="0.35">
      <c r="A5" s="784">
        <v>4</v>
      </c>
      <c r="B5" s="120" t="s">
        <v>97</v>
      </c>
      <c r="C5" s="800" t="s">
        <v>264</v>
      </c>
      <c r="D5" s="801"/>
      <c r="E5" s="778"/>
      <c r="F5" s="802"/>
      <c r="G5" s="779"/>
    </row>
    <row r="6" spans="1:7" ht="15" customHeight="1" thickBot="1" x14ac:dyDescent="0.35">
      <c r="A6" s="965">
        <v>4.0999999999999996</v>
      </c>
      <c r="B6" s="966"/>
      <c r="C6" s="968" t="s">
        <v>85</v>
      </c>
      <c r="D6" s="969"/>
      <c r="E6" s="969"/>
      <c r="F6" s="970"/>
      <c r="G6" s="964"/>
    </row>
    <row r="7" spans="1:7" ht="50.25" customHeight="1" thickBot="1" x14ac:dyDescent="0.35">
      <c r="A7" s="965"/>
      <c r="B7" s="967"/>
      <c r="C7" s="968"/>
      <c r="D7" s="969"/>
      <c r="E7" s="969"/>
      <c r="F7" s="970"/>
      <c r="G7" s="964"/>
    </row>
    <row r="8" spans="1:7" ht="28.2" thickBot="1" x14ac:dyDescent="0.35">
      <c r="A8" s="778" t="s">
        <v>173</v>
      </c>
      <c r="B8" s="191" t="s">
        <v>266</v>
      </c>
      <c r="C8" s="198" t="s">
        <v>518</v>
      </c>
      <c r="D8" s="778" t="s">
        <v>1059</v>
      </c>
      <c r="E8" s="191">
        <f>270*2.25*1*2</f>
        <v>1215</v>
      </c>
      <c r="F8" s="496">
        <v>115</v>
      </c>
      <c r="G8" s="496">
        <f>F8*E8</f>
        <v>139725</v>
      </c>
    </row>
    <row r="9" spans="1:7" ht="66.75" customHeight="1" thickBot="1" x14ac:dyDescent="0.35">
      <c r="A9" s="778" t="s">
        <v>174</v>
      </c>
      <c r="B9" s="191" t="s">
        <v>266</v>
      </c>
      <c r="C9" s="198" t="s">
        <v>550</v>
      </c>
      <c r="D9" s="778" t="s">
        <v>35</v>
      </c>
      <c r="E9" s="191">
        <f>4.8*1*65*2</f>
        <v>624</v>
      </c>
      <c r="F9" s="496">
        <v>115</v>
      </c>
      <c r="G9" s="496">
        <f>F9*E9</f>
        <v>71760</v>
      </c>
    </row>
    <row r="10" spans="1:7" ht="58.5" customHeight="1" thickBot="1" x14ac:dyDescent="0.35">
      <c r="A10" s="778" t="s">
        <v>231</v>
      </c>
      <c r="B10" s="191" t="s">
        <v>265</v>
      </c>
      <c r="C10" s="198" t="s">
        <v>519</v>
      </c>
      <c r="D10" s="778" t="s">
        <v>35</v>
      </c>
      <c r="E10" s="852">
        <f>393*0.82*0.415</f>
        <v>133.7379</v>
      </c>
      <c r="F10" s="496">
        <v>115</v>
      </c>
      <c r="G10" s="496">
        <f>F10*E10</f>
        <v>15379.8585</v>
      </c>
    </row>
    <row r="11" spans="1:7" ht="70.5" customHeight="1" thickBot="1" x14ac:dyDescent="0.35">
      <c r="A11" s="778" t="s">
        <v>232</v>
      </c>
      <c r="B11" s="191" t="s">
        <v>266</v>
      </c>
      <c r="C11" s="198" t="s">
        <v>549</v>
      </c>
      <c r="D11" s="778" t="s">
        <v>35</v>
      </c>
      <c r="E11" s="191">
        <f>85*1.2*1</f>
        <v>102</v>
      </c>
      <c r="F11" s="496">
        <v>115</v>
      </c>
      <c r="G11" s="496">
        <f>F11*E11</f>
        <v>11730</v>
      </c>
    </row>
    <row r="12" spans="1:7" ht="55.8" thickBot="1" x14ac:dyDescent="0.35">
      <c r="A12" s="774">
        <v>4.2</v>
      </c>
      <c r="B12" s="191" t="s">
        <v>266</v>
      </c>
      <c r="C12" s="775" t="s">
        <v>520</v>
      </c>
      <c r="D12" s="776"/>
      <c r="E12" s="776"/>
      <c r="F12" s="779"/>
      <c r="G12" s="779"/>
    </row>
    <row r="13" spans="1:7" ht="42" thickBot="1" x14ac:dyDescent="0.35">
      <c r="A13" s="778" t="s">
        <v>175</v>
      </c>
      <c r="B13" s="191" t="s">
        <v>266</v>
      </c>
      <c r="C13" s="198" t="s">
        <v>288</v>
      </c>
      <c r="D13" s="778" t="s">
        <v>35</v>
      </c>
      <c r="E13" s="803">
        <f>SUM(E8:E12)</f>
        <v>2074.7379000000001</v>
      </c>
      <c r="F13" s="496">
        <v>90</v>
      </c>
      <c r="G13" s="496">
        <f>E13*F13</f>
        <v>186726.41100000002</v>
      </c>
    </row>
    <row r="14" spans="1:7" ht="90.75" customHeight="1" thickBot="1" x14ac:dyDescent="0.35">
      <c r="A14" s="778" t="s">
        <v>176</v>
      </c>
      <c r="B14" s="191" t="s">
        <v>266</v>
      </c>
      <c r="C14" s="198" t="s">
        <v>289</v>
      </c>
      <c r="D14" s="778" t="s">
        <v>35</v>
      </c>
      <c r="E14" s="803">
        <f>393*0.82*0.03</f>
        <v>9.6677999999999997</v>
      </c>
      <c r="F14" s="496">
        <v>200</v>
      </c>
      <c r="G14" s="496">
        <f>E14*F14</f>
        <v>1933.56</v>
      </c>
    </row>
    <row r="15" spans="1:7" ht="75" customHeight="1" thickBot="1" x14ac:dyDescent="0.35">
      <c r="A15" s="778" t="s">
        <v>964</v>
      </c>
      <c r="B15" s="191" t="s">
        <v>266</v>
      </c>
      <c r="C15" s="795" t="s">
        <v>1060</v>
      </c>
      <c r="D15" s="778" t="s">
        <v>287</v>
      </c>
      <c r="E15" s="778">
        <f>5*110</f>
        <v>550</v>
      </c>
      <c r="F15" s="496">
        <v>600</v>
      </c>
      <c r="G15" s="496">
        <f>E15*F15</f>
        <v>330000</v>
      </c>
    </row>
    <row r="16" spans="1:7" ht="31.5" customHeight="1" thickBot="1" x14ac:dyDescent="0.35">
      <c r="A16" s="778" t="s">
        <v>965</v>
      </c>
      <c r="B16" s="610"/>
      <c r="C16" s="804" t="s">
        <v>98</v>
      </c>
      <c r="D16" s="607" t="s">
        <v>36</v>
      </c>
      <c r="E16" s="607">
        <v>110</v>
      </c>
      <c r="F16" s="498">
        <v>550</v>
      </c>
      <c r="G16" s="499">
        <f>F16*E16</f>
        <v>60500</v>
      </c>
    </row>
    <row r="17" spans="1:7" ht="35.549999999999997" customHeight="1" thickBot="1" x14ac:dyDescent="0.35">
      <c r="A17" s="946" t="s">
        <v>556</v>
      </c>
      <c r="B17" s="947"/>
      <c r="C17" s="947"/>
      <c r="D17" s="947"/>
      <c r="E17" s="947"/>
      <c r="F17" s="948"/>
      <c r="G17" s="862"/>
    </row>
  </sheetData>
  <mergeCells count="14">
    <mergeCell ref="G6:G7"/>
    <mergeCell ref="A17:F17"/>
    <mergeCell ref="A6:A7"/>
    <mergeCell ref="B6:B7"/>
    <mergeCell ref="C6:C7"/>
    <mergeCell ref="D6:D7"/>
    <mergeCell ref="E6:E7"/>
    <mergeCell ref="F6:F7"/>
    <mergeCell ref="G2:G3"/>
    <mergeCell ref="A2:A3"/>
    <mergeCell ref="C2:C3"/>
    <mergeCell ref="D2:D3"/>
    <mergeCell ref="E2:E3"/>
    <mergeCell ref="F2:F3"/>
  </mergeCells>
  <pageMargins left="0.70866141732283472" right="0.70866141732283472" top="0.74803149606299213" bottom="0.74803149606299213" header="0.31496062992125984" footer="0.31496062992125984"/>
  <pageSetup paperSize="9" scale="78" fitToHeight="0"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G17"/>
  <sheetViews>
    <sheetView view="pageBreakPreview" topLeftCell="A12" zoomScaleNormal="100" zoomScaleSheetLayoutView="100" workbookViewId="0">
      <selection activeCell="K12" sqref="K12"/>
    </sheetView>
  </sheetViews>
  <sheetFormatPr defaultColWidth="8.77734375" defaultRowHeight="14.4" x14ac:dyDescent="0.3"/>
  <cols>
    <col min="1" max="1" width="7" style="142" customWidth="1"/>
    <col min="2" max="2" width="7.5546875" style="142" customWidth="1"/>
    <col min="3" max="3" width="30.5546875" style="142" customWidth="1"/>
    <col min="4" max="5" width="8.77734375" style="142"/>
    <col min="6" max="6" width="12.109375" style="142" customWidth="1"/>
    <col min="7" max="7" width="36.33203125" style="672" customWidth="1"/>
    <col min="8" max="16384" width="8.77734375" style="142"/>
  </cols>
  <sheetData>
    <row r="1" spans="1:7" ht="15" thickBot="1" x14ac:dyDescent="0.35"/>
    <row r="2" spans="1:7" ht="27.6" x14ac:dyDescent="0.3">
      <c r="A2" s="949" t="s">
        <v>26</v>
      </c>
      <c r="B2" s="618" t="s">
        <v>27</v>
      </c>
      <c r="C2" s="949" t="s">
        <v>29</v>
      </c>
      <c r="D2" s="949" t="s">
        <v>3</v>
      </c>
      <c r="E2" s="949" t="s">
        <v>4</v>
      </c>
      <c r="F2" s="949" t="s">
        <v>5</v>
      </c>
      <c r="G2" s="971" t="s">
        <v>6</v>
      </c>
    </row>
    <row r="3" spans="1:7" ht="28.2" thickBot="1" x14ac:dyDescent="0.35">
      <c r="A3" s="950"/>
      <c r="B3" s="620" t="s">
        <v>28</v>
      </c>
      <c r="C3" s="950"/>
      <c r="D3" s="950"/>
      <c r="E3" s="950"/>
      <c r="F3" s="950"/>
      <c r="G3" s="972"/>
    </row>
    <row r="4" spans="1:7" ht="15" thickBot="1" x14ac:dyDescent="0.35">
      <c r="A4" s="621"/>
      <c r="B4" s="620"/>
      <c r="C4" s="622" t="s">
        <v>115</v>
      </c>
      <c r="D4" s="623"/>
      <c r="E4" s="619"/>
      <c r="F4" s="623"/>
      <c r="G4" s="723"/>
    </row>
    <row r="5" spans="1:7" ht="28.2" thickBot="1" x14ac:dyDescent="0.35">
      <c r="A5" s="625">
        <v>4</v>
      </c>
      <c r="B5" s="641" t="s">
        <v>97</v>
      </c>
      <c r="C5" s="724" t="s">
        <v>264</v>
      </c>
      <c r="D5" s="725"/>
      <c r="E5" s="638"/>
      <c r="F5" s="726"/>
      <c r="G5" s="640"/>
    </row>
    <row r="6" spans="1:7" ht="15" customHeight="1" thickBot="1" x14ac:dyDescent="0.35">
      <c r="A6" s="973">
        <v>4.0999999999999996</v>
      </c>
      <c r="B6" s="977"/>
      <c r="C6" s="974" t="s">
        <v>85</v>
      </c>
      <c r="D6" s="975"/>
      <c r="E6" s="975"/>
      <c r="F6" s="976"/>
      <c r="G6" s="957"/>
    </row>
    <row r="7" spans="1:7" ht="50.25" customHeight="1" thickBot="1" x14ac:dyDescent="0.35">
      <c r="A7" s="973"/>
      <c r="B7" s="978"/>
      <c r="C7" s="974"/>
      <c r="D7" s="975"/>
      <c r="E7" s="975"/>
      <c r="F7" s="976"/>
      <c r="G7" s="957"/>
    </row>
    <row r="8" spans="1:7" ht="28.2" thickBot="1" x14ac:dyDescent="0.35">
      <c r="A8" s="638" t="s">
        <v>173</v>
      </c>
      <c r="B8" s="638" t="s">
        <v>266</v>
      </c>
      <c r="C8" s="639" t="s">
        <v>518</v>
      </c>
      <c r="D8" s="638" t="s">
        <v>1033</v>
      </c>
      <c r="E8" s="638">
        <f>270*2.25</f>
        <v>607.5</v>
      </c>
      <c r="F8" s="640">
        <v>306</v>
      </c>
      <c r="G8" s="640">
        <f>F8*E8</f>
        <v>185895</v>
      </c>
    </row>
    <row r="9" spans="1:7" ht="66.75" customHeight="1" thickBot="1" x14ac:dyDescent="0.35">
      <c r="A9" s="638" t="s">
        <v>174</v>
      </c>
      <c r="B9" s="638" t="s">
        <v>266</v>
      </c>
      <c r="C9" s="639" t="s">
        <v>550</v>
      </c>
      <c r="D9" s="638" t="s">
        <v>35</v>
      </c>
      <c r="E9" s="638">
        <v>312</v>
      </c>
      <c r="F9" s="640">
        <v>306</v>
      </c>
      <c r="G9" s="640">
        <f>F9*E9</f>
        <v>95472</v>
      </c>
    </row>
    <row r="10" spans="1:7" ht="58.5" customHeight="1" thickBot="1" x14ac:dyDescent="0.35">
      <c r="A10" s="638" t="s">
        <v>231</v>
      </c>
      <c r="B10" s="638" t="s">
        <v>265</v>
      </c>
      <c r="C10" s="639" t="s">
        <v>519</v>
      </c>
      <c r="D10" s="638" t="s">
        <v>35</v>
      </c>
      <c r="E10" s="638">
        <v>134</v>
      </c>
      <c r="F10" s="640">
        <v>306</v>
      </c>
      <c r="G10" s="640">
        <f>F10*E10</f>
        <v>41004</v>
      </c>
    </row>
    <row r="11" spans="1:7" ht="70.5" customHeight="1" thickBot="1" x14ac:dyDescent="0.35">
      <c r="A11" s="638" t="s">
        <v>232</v>
      </c>
      <c r="B11" s="638" t="s">
        <v>266</v>
      </c>
      <c r="C11" s="639" t="s">
        <v>549</v>
      </c>
      <c r="D11" s="638" t="s">
        <v>35</v>
      </c>
      <c r="E11" s="638">
        <v>102</v>
      </c>
      <c r="F11" s="640">
        <v>306</v>
      </c>
      <c r="G11" s="640">
        <f>F11*E11</f>
        <v>31212</v>
      </c>
    </row>
    <row r="12" spans="1:7" ht="55.8" thickBot="1" x14ac:dyDescent="0.35">
      <c r="A12" s="641">
        <v>4.2</v>
      </c>
      <c r="B12" s="638" t="s">
        <v>266</v>
      </c>
      <c r="C12" s="667" t="s">
        <v>520</v>
      </c>
      <c r="D12" s="643"/>
      <c r="E12" s="643"/>
      <c r="F12" s="640"/>
      <c r="G12" s="640"/>
    </row>
    <row r="13" spans="1:7" ht="42" thickBot="1" x14ac:dyDescent="0.35">
      <c r="A13" s="638" t="s">
        <v>175</v>
      </c>
      <c r="B13" s="638" t="s">
        <v>266</v>
      </c>
      <c r="C13" s="639" t="s">
        <v>288</v>
      </c>
      <c r="D13" s="638" t="s">
        <v>35</v>
      </c>
      <c r="E13" s="638">
        <v>1021</v>
      </c>
      <c r="F13" s="640">
        <v>137</v>
      </c>
      <c r="G13" s="640">
        <f>E13*F13</f>
        <v>139877</v>
      </c>
    </row>
    <row r="14" spans="1:7" ht="90.75" customHeight="1" thickBot="1" x14ac:dyDescent="0.35">
      <c r="A14" s="638" t="s">
        <v>176</v>
      </c>
      <c r="B14" s="638" t="s">
        <v>266</v>
      </c>
      <c r="C14" s="639" t="s">
        <v>289</v>
      </c>
      <c r="D14" s="638" t="s">
        <v>35</v>
      </c>
      <c r="E14" s="638">
        <v>97</v>
      </c>
      <c r="F14" s="640">
        <v>166</v>
      </c>
      <c r="G14" s="640">
        <f>E14*F14</f>
        <v>16102</v>
      </c>
    </row>
    <row r="15" spans="1:7" ht="75" customHeight="1" thickBot="1" x14ac:dyDescent="0.35">
      <c r="A15" s="638" t="s">
        <v>964</v>
      </c>
      <c r="B15" s="638" t="s">
        <v>266</v>
      </c>
      <c r="C15" s="646" t="s">
        <v>290</v>
      </c>
      <c r="D15" s="638" t="s">
        <v>37</v>
      </c>
      <c r="E15" s="638">
        <v>1</v>
      </c>
      <c r="F15" s="640">
        <v>45000</v>
      </c>
      <c r="G15" s="640">
        <f>E15*F15</f>
        <v>45000</v>
      </c>
    </row>
    <row r="16" spans="1:7" ht="31.5" customHeight="1" thickBot="1" x14ac:dyDescent="0.35">
      <c r="A16" s="638" t="s">
        <v>965</v>
      </c>
      <c r="B16" s="633"/>
      <c r="C16" s="727" t="s">
        <v>98</v>
      </c>
      <c r="D16" s="633" t="s">
        <v>36</v>
      </c>
      <c r="E16" s="633">
        <v>40</v>
      </c>
      <c r="F16" s="728">
        <v>550</v>
      </c>
      <c r="G16" s="689">
        <f>F16*E16</f>
        <v>22000</v>
      </c>
    </row>
    <row r="17" spans="1:7" ht="35.549999999999997" customHeight="1" thickBot="1" x14ac:dyDescent="0.35">
      <c r="A17" s="951" t="s">
        <v>556</v>
      </c>
      <c r="B17" s="952"/>
      <c r="C17" s="952"/>
      <c r="D17" s="952"/>
      <c r="E17" s="952"/>
      <c r="F17" s="953"/>
      <c r="G17" s="650">
        <f>SUM(G8:G16)</f>
        <v>576562</v>
      </c>
    </row>
  </sheetData>
  <mergeCells count="14">
    <mergeCell ref="G2:G3"/>
    <mergeCell ref="A6:A7"/>
    <mergeCell ref="C6:C7"/>
    <mergeCell ref="G6:G7"/>
    <mergeCell ref="A17:F17"/>
    <mergeCell ref="A2:A3"/>
    <mergeCell ref="C2:C3"/>
    <mergeCell ref="D2:D3"/>
    <mergeCell ref="E2:E3"/>
    <mergeCell ref="F2:F3"/>
    <mergeCell ref="D6:D7"/>
    <mergeCell ref="E6:E7"/>
    <mergeCell ref="F6:F7"/>
    <mergeCell ref="B6:B7"/>
  </mergeCells>
  <phoneticPr fontId="46" type="noConversion"/>
  <pageMargins left="0.70866141732283472" right="0.70866141732283472" top="0.74803149606299213" bottom="0.74803149606299213" header="0.31496062992125984" footer="0.31496062992125984"/>
  <pageSetup paperSize="9" scale="78" fitToHeight="0"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L23"/>
  <sheetViews>
    <sheetView view="pageBreakPreview" topLeftCell="A8" zoomScaleNormal="100" zoomScaleSheetLayoutView="100" workbookViewId="0">
      <selection activeCell="I23" sqref="I23"/>
    </sheetView>
  </sheetViews>
  <sheetFormatPr defaultRowHeight="14.4" x14ac:dyDescent="0.3"/>
  <cols>
    <col min="1" max="1" width="5.88671875" customWidth="1"/>
    <col min="2" max="2" width="8" style="389" customWidth="1"/>
    <col min="3" max="3" width="22.44140625" customWidth="1"/>
    <col min="4" max="4" width="6.33203125" customWidth="1"/>
    <col min="5" max="5" width="7" customWidth="1"/>
    <col min="6" max="6" width="10.44140625" customWidth="1"/>
    <col min="7" max="7" width="0.88671875" hidden="1" customWidth="1"/>
    <col min="8" max="8" width="12.88671875" customWidth="1"/>
    <col min="9" max="9" width="36.33203125" customWidth="1"/>
  </cols>
  <sheetData>
    <row r="1" spans="1:12" ht="15" thickBot="1" x14ac:dyDescent="0.35">
      <c r="A1" s="1"/>
    </row>
    <row r="2" spans="1:12" ht="32.25" customHeight="1" thickBot="1" x14ac:dyDescent="0.35">
      <c r="A2" s="163" t="s">
        <v>37</v>
      </c>
      <c r="B2" s="999" t="s">
        <v>1</v>
      </c>
      <c r="C2" s="1001" t="s">
        <v>2</v>
      </c>
      <c r="D2" s="1003" t="s">
        <v>3</v>
      </c>
      <c r="E2" s="1003" t="s">
        <v>4</v>
      </c>
      <c r="F2" s="1005" t="s">
        <v>5</v>
      </c>
      <c r="G2" s="1006"/>
      <c r="H2" s="1007"/>
      <c r="I2" s="155" t="s">
        <v>6</v>
      </c>
    </row>
    <row r="3" spans="1:12" ht="15" thickBot="1" x14ac:dyDescent="0.35">
      <c r="A3" s="60" t="s">
        <v>38</v>
      </c>
      <c r="B3" s="1000"/>
      <c r="C3" s="1002"/>
      <c r="D3" s="1004"/>
      <c r="E3" s="1004"/>
      <c r="F3" s="1008" t="s">
        <v>7</v>
      </c>
      <c r="G3" s="1009"/>
      <c r="H3" s="33" t="s">
        <v>8</v>
      </c>
      <c r="I3" s="54"/>
    </row>
    <row r="4" spans="1:12" ht="15" thickBot="1" x14ac:dyDescent="0.35">
      <c r="A4" s="38"/>
      <c r="B4" s="390"/>
      <c r="C4" s="437" t="s">
        <v>116</v>
      </c>
      <c r="D4" s="156"/>
      <c r="E4" s="61"/>
      <c r="F4" s="158"/>
      <c r="G4" s="159"/>
      <c r="H4" s="62"/>
      <c r="I4" s="63"/>
    </row>
    <row r="5" spans="1:12" ht="15" thickBot="1" x14ac:dyDescent="0.35">
      <c r="A5" s="381">
        <v>5</v>
      </c>
      <c r="B5" s="391"/>
      <c r="C5" s="438" t="s">
        <v>233</v>
      </c>
      <c r="D5" s="182"/>
      <c r="E5" s="11"/>
      <c r="F5" s="989"/>
      <c r="G5" s="990"/>
      <c r="H5" s="64"/>
      <c r="I5" s="65"/>
    </row>
    <row r="6" spans="1:12" x14ac:dyDescent="0.3">
      <c r="A6" s="991">
        <v>5.0999999999999996</v>
      </c>
      <c r="B6" s="993"/>
      <c r="C6" s="439" t="s">
        <v>43</v>
      </c>
      <c r="D6" s="991"/>
      <c r="E6" s="991"/>
      <c r="F6" s="995"/>
      <c r="G6" s="996"/>
      <c r="H6" s="985"/>
      <c r="I6" s="987"/>
    </row>
    <row r="7" spans="1:12" ht="111" thickBot="1" x14ac:dyDescent="0.35">
      <c r="A7" s="992"/>
      <c r="B7" s="994"/>
      <c r="C7" s="552" t="s">
        <v>827</v>
      </c>
      <c r="D7" s="992"/>
      <c r="E7" s="992"/>
      <c r="F7" s="997"/>
      <c r="G7" s="998"/>
      <c r="H7" s="986"/>
      <c r="I7" s="988"/>
    </row>
    <row r="8" spans="1:12" ht="27" customHeight="1" thickBot="1" x14ac:dyDescent="0.35">
      <c r="A8" s="92" t="s">
        <v>177</v>
      </c>
      <c r="B8" s="192" t="s">
        <v>217</v>
      </c>
      <c r="C8" s="75" t="s">
        <v>1009</v>
      </c>
      <c r="D8" s="72" t="s">
        <v>42</v>
      </c>
      <c r="E8" s="181">
        <v>2</v>
      </c>
      <c r="F8" s="979">
        <v>9500</v>
      </c>
      <c r="G8" s="980"/>
      <c r="H8" s="496">
        <v>4750</v>
      </c>
      <c r="I8" s="500">
        <f t="shared" ref="I8:I22" si="0">SUM(F8:H8)*E8</f>
        <v>28500</v>
      </c>
    </row>
    <row r="9" spans="1:12" ht="27" customHeight="1" thickBot="1" x14ac:dyDescent="0.35">
      <c r="A9" s="92" t="s">
        <v>178</v>
      </c>
      <c r="B9" s="192" t="s">
        <v>221</v>
      </c>
      <c r="C9" s="75" t="s">
        <v>268</v>
      </c>
      <c r="D9" s="154" t="s">
        <v>42</v>
      </c>
      <c r="E9" s="30">
        <v>3</v>
      </c>
      <c r="F9" s="501">
        <v>5500</v>
      </c>
      <c r="G9" s="502"/>
      <c r="H9" s="503">
        <v>2750</v>
      </c>
      <c r="I9" s="500">
        <f t="shared" si="0"/>
        <v>24750</v>
      </c>
      <c r="J9" s="614"/>
      <c r="L9" s="615"/>
    </row>
    <row r="10" spans="1:12" ht="26.4" customHeight="1" thickBot="1" x14ac:dyDescent="0.35">
      <c r="A10" s="92" t="s">
        <v>179</v>
      </c>
      <c r="B10" s="192" t="s">
        <v>507</v>
      </c>
      <c r="C10" s="75" t="s">
        <v>1008</v>
      </c>
      <c r="D10" s="154" t="s">
        <v>42</v>
      </c>
      <c r="E10" s="30">
        <v>2</v>
      </c>
      <c r="F10" s="979">
        <v>13750</v>
      </c>
      <c r="G10" s="980"/>
      <c r="H10" s="503">
        <v>6875</v>
      </c>
      <c r="I10" s="500">
        <f t="shared" si="0"/>
        <v>41250</v>
      </c>
    </row>
    <row r="11" spans="1:12" ht="28.2" customHeight="1" thickBot="1" x14ac:dyDescent="0.35">
      <c r="A11" s="92" t="s">
        <v>180</v>
      </c>
      <c r="B11" s="192" t="s">
        <v>44</v>
      </c>
      <c r="C11" s="90" t="s">
        <v>1007</v>
      </c>
      <c r="D11" s="165" t="s">
        <v>42</v>
      </c>
      <c r="E11" s="58">
        <f>1*3*2</f>
        <v>6</v>
      </c>
      <c r="F11" s="979">
        <v>8750</v>
      </c>
      <c r="G11" s="980"/>
      <c r="H11" s="504">
        <v>4375</v>
      </c>
      <c r="I11" s="500">
        <f t="shared" si="0"/>
        <v>78750</v>
      </c>
    </row>
    <row r="12" spans="1:12" ht="24.75" customHeight="1" thickBot="1" x14ac:dyDescent="0.35">
      <c r="A12" s="92" t="s">
        <v>181</v>
      </c>
      <c r="B12" s="192" t="s">
        <v>44</v>
      </c>
      <c r="C12" s="75" t="s">
        <v>183</v>
      </c>
      <c r="D12" s="72" t="s">
        <v>42</v>
      </c>
      <c r="E12" s="181">
        <v>2</v>
      </c>
      <c r="F12" s="979">
        <v>12500</v>
      </c>
      <c r="G12" s="980"/>
      <c r="H12" s="496">
        <v>6250</v>
      </c>
      <c r="I12" s="500">
        <f t="shared" si="0"/>
        <v>37500</v>
      </c>
    </row>
    <row r="13" spans="1:12" ht="83.4" thickBot="1" x14ac:dyDescent="0.35">
      <c r="A13" s="92" t="s">
        <v>182</v>
      </c>
      <c r="B13" s="192" t="s">
        <v>508</v>
      </c>
      <c r="C13" s="75" t="s">
        <v>522</v>
      </c>
      <c r="D13" s="165" t="s">
        <v>42</v>
      </c>
      <c r="E13" s="58">
        <v>2</v>
      </c>
      <c r="F13" s="981">
        <v>95200</v>
      </c>
      <c r="G13" s="982"/>
      <c r="H13" s="504">
        <f>F13*0.3</f>
        <v>28560</v>
      </c>
      <c r="I13" s="500">
        <f t="shared" si="0"/>
        <v>247520</v>
      </c>
    </row>
    <row r="14" spans="1:12" ht="27" customHeight="1" thickBot="1" x14ac:dyDescent="0.35">
      <c r="A14" s="92" t="s">
        <v>185</v>
      </c>
      <c r="B14" s="192" t="s">
        <v>218</v>
      </c>
      <c r="C14" s="75" t="s">
        <v>1006</v>
      </c>
      <c r="D14" s="72" t="s">
        <v>42</v>
      </c>
      <c r="E14" s="72">
        <v>6</v>
      </c>
      <c r="F14" s="493">
        <v>8750</v>
      </c>
      <c r="G14" s="502"/>
      <c r="H14" s="496">
        <v>4375</v>
      </c>
      <c r="I14" s="500">
        <f t="shared" si="0"/>
        <v>78750</v>
      </c>
    </row>
    <row r="15" spans="1:12" ht="28.8" customHeight="1" thickBot="1" x14ac:dyDescent="0.35">
      <c r="A15" s="92" t="s">
        <v>186</v>
      </c>
      <c r="B15" s="192" t="s">
        <v>223</v>
      </c>
      <c r="C15" s="75" t="s">
        <v>267</v>
      </c>
      <c r="D15" s="165" t="s">
        <v>42</v>
      </c>
      <c r="E15" s="58">
        <v>6</v>
      </c>
      <c r="F15" s="505">
        <v>8750</v>
      </c>
      <c r="G15" s="491"/>
      <c r="H15" s="503">
        <v>4375</v>
      </c>
      <c r="I15" s="500">
        <f t="shared" si="0"/>
        <v>78750</v>
      </c>
    </row>
    <row r="16" spans="1:12" ht="25.5" customHeight="1" thickBot="1" x14ac:dyDescent="0.35">
      <c r="A16" s="92" t="s">
        <v>187</v>
      </c>
      <c r="B16" s="192" t="s">
        <v>220</v>
      </c>
      <c r="C16" s="81" t="s">
        <v>533</v>
      </c>
      <c r="D16" s="72" t="s">
        <v>42</v>
      </c>
      <c r="E16" s="72">
        <v>2</v>
      </c>
      <c r="F16" s="493">
        <v>65000</v>
      </c>
      <c r="G16" s="493"/>
      <c r="H16" s="496">
        <v>6375</v>
      </c>
      <c r="I16" s="496">
        <f t="shared" si="0"/>
        <v>142750</v>
      </c>
    </row>
    <row r="17" spans="1:9" ht="26.25" customHeight="1" thickBot="1" x14ac:dyDescent="0.35">
      <c r="A17" s="92" t="s">
        <v>188</v>
      </c>
      <c r="B17" s="192" t="s">
        <v>219</v>
      </c>
      <c r="C17" s="81" t="s">
        <v>184</v>
      </c>
      <c r="D17" s="72" t="s">
        <v>42</v>
      </c>
      <c r="E17" s="72">
        <v>2</v>
      </c>
      <c r="F17" s="493">
        <v>14500</v>
      </c>
      <c r="G17" s="493"/>
      <c r="H17" s="496">
        <v>7250</v>
      </c>
      <c r="I17" s="496">
        <f t="shared" si="0"/>
        <v>43500</v>
      </c>
    </row>
    <row r="18" spans="1:9" ht="24.75" customHeight="1" thickBot="1" x14ac:dyDescent="0.35">
      <c r="A18" s="92" t="s">
        <v>189</v>
      </c>
      <c r="B18" s="193"/>
      <c r="C18" s="81" t="s">
        <v>291</v>
      </c>
      <c r="D18" s="72" t="s">
        <v>42</v>
      </c>
      <c r="E18" s="72">
        <v>2</v>
      </c>
      <c r="F18" s="493">
        <v>5118</v>
      </c>
      <c r="G18" s="493"/>
      <c r="H18" s="496">
        <v>4325</v>
      </c>
      <c r="I18" s="500">
        <f t="shared" si="0"/>
        <v>18886</v>
      </c>
    </row>
    <row r="19" spans="1:9" ht="24.75" customHeight="1" thickBot="1" x14ac:dyDescent="0.35">
      <c r="A19" s="92" t="s">
        <v>234</v>
      </c>
      <c r="B19" s="192" t="s">
        <v>44</v>
      </c>
      <c r="C19" s="90" t="s">
        <v>521</v>
      </c>
      <c r="D19" s="165" t="s">
        <v>42</v>
      </c>
      <c r="E19" s="58">
        <v>6</v>
      </c>
      <c r="F19" s="493">
        <v>8750</v>
      </c>
      <c r="G19" s="493"/>
      <c r="H19" s="496">
        <v>4375</v>
      </c>
      <c r="I19" s="500">
        <f t="shared" si="0"/>
        <v>78750</v>
      </c>
    </row>
    <row r="20" spans="1:9" ht="24.75" customHeight="1" thickBot="1" x14ac:dyDescent="0.35">
      <c r="A20" s="92" t="s">
        <v>236</v>
      </c>
      <c r="B20" s="192" t="s">
        <v>235</v>
      </c>
      <c r="C20" s="81" t="s">
        <v>1004</v>
      </c>
      <c r="D20" s="72" t="s">
        <v>42</v>
      </c>
      <c r="E20" s="191">
        <v>0</v>
      </c>
      <c r="F20" s="493">
        <v>4375</v>
      </c>
      <c r="G20" s="494"/>
      <c r="H20" s="496">
        <v>4375</v>
      </c>
      <c r="I20" s="500">
        <f t="shared" si="0"/>
        <v>0</v>
      </c>
    </row>
    <row r="21" spans="1:9" ht="24.75" customHeight="1" thickBot="1" x14ac:dyDescent="0.35">
      <c r="A21" s="92" t="s">
        <v>269</v>
      </c>
      <c r="B21" s="192" t="s">
        <v>509</v>
      </c>
      <c r="C21" s="81" t="s">
        <v>1005</v>
      </c>
      <c r="D21" s="72" t="s">
        <v>42</v>
      </c>
      <c r="E21" s="191">
        <v>0</v>
      </c>
      <c r="F21" s="493">
        <v>5995</v>
      </c>
      <c r="G21" s="491"/>
      <c r="H21" s="496">
        <v>8500</v>
      </c>
      <c r="I21" s="500">
        <f t="shared" ref="I21" si="1">SUM(F21:H21)*E21</f>
        <v>0</v>
      </c>
    </row>
    <row r="22" spans="1:9" ht="24.75" customHeight="1" thickBot="1" x14ac:dyDescent="0.35">
      <c r="A22" s="92" t="s">
        <v>1034</v>
      </c>
      <c r="B22" s="192" t="s">
        <v>509</v>
      </c>
      <c r="C22" s="81" t="s">
        <v>1040</v>
      </c>
      <c r="D22" s="72" t="s">
        <v>42</v>
      </c>
      <c r="E22" s="72">
        <v>2</v>
      </c>
      <c r="F22" s="493">
        <v>5995</v>
      </c>
      <c r="G22" s="491"/>
      <c r="H22" s="496">
        <v>8500</v>
      </c>
      <c r="I22" s="500">
        <f t="shared" si="0"/>
        <v>28990</v>
      </c>
    </row>
    <row r="23" spans="1:9" ht="35.549999999999997" customHeight="1" thickBot="1" x14ac:dyDescent="0.35">
      <c r="A23" s="983" t="s">
        <v>190</v>
      </c>
      <c r="B23" s="984"/>
      <c r="C23" s="984"/>
      <c r="D23" s="984"/>
      <c r="E23" s="984"/>
      <c r="F23" s="984"/>
      <c r="G23" s="34" t="s">
        <v>25</v>
      </c>
      <c r="H23" s="206"/>
      <c r="I23" s="863"/>
    </row>
  </sheetData>
  <mergeCells count="20">
    <mergeCell ref="B2:B3"/>
    <mergeCell ref="C2:C3"/>
    <mergeCell ref="D2:D3"/>
    <mergeCell ref="E2:E3"/>
    <mergeCell ref="F2:H2"/>
    <mergeCell ref="F3:G3"/>
    <mergeCell ref="F5:G5"/>
    <mergeCell ref="A6:A7"/>
    <mergeCell ref="B6:B7"/>
    <mergeCell ref="D6:D7"/>
    <mergeCell ref="E6:E7"/>
    <mergeCell ref="F6:G7"/>
    <mergeCell ref="F12:G12"/>
    <mergeCell ref="F13:G13"/>
    <mergeCell ref="A23:F23"/>
    <mergeCell ref="H6:H7"/>
    <mergeCell ref="I6:I7"/>
    <mergeCell ref="F8:G8"/>
    <mergeCell ref="F10:G10"/>
    <mergeCell ref="F11:G11"/>
  </mergeCells>
  <pageMargins left="0.70866141732283472" right="0.70866141732283472" top="0.74803149606299213" bottom="0.74803149606299213" header="0.31496062992125984" footer="0.31496062992125984"/>
  <pageSetup paperSize="9" scale="79" fitToHeight="0"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H35"/>
  <sheetViews>
    <sheetView view="pageBreakPreview" topLeftCell="A22" zoomScaleNormal="100" zoomScaleSheetLayoutView="100" workbookViewId="0">
      <selection activeCell="H34" sqref="H34"/>
    </sheetView>
  </sheetViews>
  <sheetFormatPr defaultColWidth="8.88671875" defaultRowHeight="14.4" x14ac:dyDescent="0.3"/>
  <cols>
    <col min="1" max="1" width="5.33203125" customWidth="1"/>
    <col min="2" max="2" width="8.5546875" style="389" customWidth="1"/>
    <col min="3" max="3" width="35.5546875" customWidth="1"/>
    <col min="4" max="4" width="6.44140625" customWidth="1"/>
    <col min="5" max="5" width="6.88671875" customWidth="1"/>
    <col min="6" max="6" width="11.33203125" customWidth="1"/>
    <col min="7" max="7" width="10.88671875" bestFit="1" customWidth="1"/>
    <col min="8" max="8" width="36.33203125" customWidth="1"/>
  </cols>
  <sheetData>
    <row r="1" spans="1:8" ht="15" thickBot="1" x14ac:dyDescent="0.35"/>
    <row r="2" spans="1:8" ht="32.25" customHeight="1" thickBot="1" x14ac:dyDescent="0.35">
      <c r="A2" s="163" t="s">
        <v>37</v>
      </c>
      <c r="B2" s="1003" t="s">
        <v>1</v>
      </c>
      <c r="C2" s="1001" t="s">
        <v>2</v>
      </c>
      <c r="D2" s="1003" t="s">
        <v>3</v>
      </c>
      <c r="E2" s="1003" t="s">
        <v>4</v>
      </c>
      <c r="F2" s="1005" t="s">
        <v>5</v>
      </c>
      <c r="G2" s="1007"/>
      <c r="H2" s="1003" t="s">
        <v>6</v>
      </c>
    </row>
    <row r="3" spans="1:8" ht="15" thickBot="1" x14ac:dyDescent="0.35">
      <c r="A3" s="60" t="s">
        <v>38</v>
      </c>
      <c r="B3" s="1010"/>
      <c r="C3" s="1002"/>
      <c r="D3" s="1004"/>
      <c r="E3" s="1004"/>
      <c r="F3" s="392" t="s">
        <v>7</v>
      </c>
      <c r="G3" s="393" t="s">
        <v>8</v>
      </c>
      <c r="H3" s="1004"/>
    </row>
    <row r="4" spans="1:8" ht="15" thickBot="1" x14ac:dyDescent="0.35">
      <c r="A4" s="613"/>
      <c r="B4" s="842"/>
      <c r="C4" s="394" t="s">
        <v>117</v>
      </c>
      <c r="D4" s="54"/>
      <c r="E4" s="54"/>
      <c r="F4" s="395"/>
      <c r="G4" s="33"/>
      <c r="H4" s="54"/>
    </row>
    <row r="5" spans="1:8" ht="24.75" customHeight="1" thickBot="1" x14ac:dyDescent="0.35">
      <c r="A5" s="148">
        <v>6</v>
      </c>
      <c r="B5" s="838" t="s">
        <v>191</v>
      </c>
      <c r="C5" s="396" t="s">
        <v>58</v>
      </c>
      <c r="D5" s="387"/>
      <c r="E5" s="387"/>
      <c r="F5" s="189"/>
      <c r="G5" s="189"/>
      <c r="H5" s="189"/>
    </row>
    <row r="6" spans="1:8" ht="15" thickBot="1" x14ac:dyDescent="0.35">
      <c r="A6" s="41"/>
      <c r="B6" s="838"/>
      <c r="C6" s="397" t="s">
        <v>99</v>
      </c>
      <c r="D6" s="398"/>
      <c r="E6" s="398"/>
      <c r="F6" s="399"/>
      <c r="G6" s="400"/>
      <c r="H6" s="79"/>
    </row>
    <row r="7" spans="1:8" ht="31.5" customHeight="1" thickBot="1" x14ac:dyDescent="0.35">
      <c r="A7" s="76">
        <v>6.1</v>
      </c>
      <c r="B7" s="843"/>
      <c r="C7" s="555" t="s">
        <v>100</v>
      </c>
      <c r="D7" s="72" t="s">
        <v>13</v>
      </c>
      <c r="E7" s="72">
        <v>1</v>
      </c>
      <c r="F7" s="22">
        <v>65000</v>
      </c>
      <c r="G7" s="412"/>
      <c r="H7" s="496">
        <f>E7*F7</f>
        <v>65000</v>
      </c>
    </row>
    <row r="8" spans="1:8" ht="108" customHeight="1" thickBot="1" x14ac:dyDescent="0.35">
      <c r="A8" s="129">
        <v>6.2</v>
      </c>
      <c r="B8" s="838"/>
      <c r="C8" s="424" t="s">
        <v>101</v>
      </c>
      <c r="D8" s="118"/>
      <c r="E8" s="98"/>
      <c r="F8" s="568"/>
      <c r="G8" s="80"/>
      <c r="H8" s="169"/>
    </row>
    <row r="9" spans="1:8" ht="42" thickBot="1" x14ac:dyDescent="0.35">
      <c r="A9" s="92" t="s">
        <v>160</v>
      </c>
      <c r="B9" s="838"/>
      <c r="C9" s="75" t="s">
        <v>102</v>
      </c>
      <c r="D9" s="118"/>
      <c r="E9" s="98"/>
      <c r="F9" s="568"/>
      <c r="G9" s="80"/>
      <c r="H9" s="169"/>
    </row>
    <row r="10" spans="1:8" ht="31.5" customHeight="1" thickBot="1" x14ac:dyDescent="0.35">
      <c r="A10" s="92" t="s">
        <v>161</v>
      </c>
      <c r="B10" s="838"/>
      <c r="C10" s="75" t="s">
        <v>103</v>
      </c>
      <c r="D10" s="118"/>
      <c r="E10" s="98"/>
      <c r="F10" s="568"/>
      <c r="G10" s="80"/>
      <c r="H10" s="169"/>
    </row>
    <row r="11" spans="1:8" ht="31.5" customHeight="1" thickBot="1" x14ac:dyDescent="0.35">
      <c r="A11" s="92" t="s">
        <v>162</v>
      </c>
      <c r="B11" s="192"/>
      <c r="C11" s="75" t="s">
        <v>1003</v>
      </c>
      <c r="D11" s="153" t="s">
        <v>42</v>
      </c>
      <c r="E11" s="154">
        <f>Concrete!E10</f>
        <v>2</v>
      </c>
      <c r="F11" s="507">
        <v>21106.51</v>
      </c>
      <c r="G11" s="508">
        <v>4736</v>
      </c>
      <c r="H11" s="499">
        <f t="shared" ref="H11:H20" si="0">SUM(F11:G11)*E11</f>
        <v>51685.02</v>
      </c>
    </row>
    <row r="12" spans="1:8" ht="31.5" customHeight="1" thickBot="1" x14ac:dyDescent="0.35">
      <c r="A12" s="92" t="s">
        <v>192</v>
      </c>
      <c r="B12" s="192" t="s">
        <v>221</v>
      </c>
      <c r="C12" s="75" t="s">
        <v>1002</v>
      </c>
      <c r="D12" s="153" t="s">
        <v>42</v>
      </c>
      <c r="E12" s="154">
        <f>Concrete!E8</f>
        <v>2</v>
      </c>
      <c r="F12" s="507">
        <v>29959.23</v>
      </c>
      <c r="G12" s="508">
        <v>5214</v>
      </c>
      <c r="H12" s="499">
        <f t="shared" si="0"/>
        <v>70346.459999999992</v>
      </c>
    </row>
    <row r="13" spans="1:8" ht="31.5" customHeight="1" thickBot="1" x14ac:dyDescent="0.35">
      <c r="A13" s="92" t="s">
        <v>193</v>
      </c>
      <c r="B13" s="192" t="s">
        <v>59</v>
      </c>
      <c r="C13" s="75" t="s">
        <v>1001</v>
      </c>
      <c r="D13" s="153" t="s">
        <v>42</v>
      </c>
      <c r="E13" s="154">
        <v>2</v>
      </c>
      <c r="F13" s="507">
        <v>9563.7099999999991</v>
      </c>
      <c r="G13" s="508">
        <v>2361</v>
      </c>
      <c r="H13" s="499">
        <f t="shared" si="0"/>
        <v>23849.42</v>
      </c>
    </row>
    <row r="14" spans="1:8" ht="31.5" customHeight="1" thickBot="1" x14ac:dyDescent="0.35">
      <c r="A14" s="92" t="s">
        <v>194</v>
      </c>
      <c r="B14" s="192" t="s">
        <v>510</v>
      </c>
      <c r="C14" s="75" t="s">
        <v>1000</v>
      </c>
      <c r="D14" s="153" t="s">
        <v>42</v>
      </c>
      <c r="E14" s="154">
        <v>2</v>
      </c>
      <c r="F14" s="507">
        <v>3117.3</v>
      </c>
      <c r="G14" s="508">
        <v>689</v>
      </c>
      <c r="H14" s="499">
        <f t="shared" si="0"/>
        <v>7612.6</v>
      </c>
    </row>
    <row r="15" spans="1:8" ht="31.5" customHeight="1" thickBot="1" x14ac:dyDescent="0.35">
      <c r="A15" s="92" t="s">
        <v>195</v>
      </c>
      <c r="B15" s="192" t="s">
        <v>225</v>
      </c>
      <c r="C15" s="75" t="s">
        <v>999</v>
      </c>
      <c r="D15" s="153" t="s">
        <v>42</v>
      </c>
      <c r="E15" s="154">
        <v>6</v>
      </c>
      <c r="F15" s="507">
        <v>6029.42</v>
      </c>
      <c r="G15" s="508">
        <v>2361</v>
      </c>
      <c r="H15" s="499">
        <f t="shared" si="0"/>
        <v>50342.520000000004</v>
      </c>
    </row>
    <row r="16" spans="1:8" ht="31.5" customHeight="1" thickBot="1" x14ac:dyDescent="0.35">
      <c r="A16" s="92" t="s">
        <v>196</v>
      </c>
      <c r="B16" s="192" t="s">
        <v>511</v>
      </c>
      <c r="C16" s="75" t="s">
        <v>998</v>
      </c>
      <c r="D16" s="153" t="s">
        <v>42</v>
      </c>
      <c r="E16" s="154">
        <v>6</v>
      </c>
      <c r="F16" s="507">
        <v>6029.42</v>
      </c>
      <c r="G16" s="508">
        <v>689</v>
      </c>
      <c r="H16" s="499">
        <f t="shared" si="0"/>
        <v>40310.520000000004</v>
      </c>
    </row>
    <row r="17" spans="1:8" ht="31.5" customHeight="1" thickBot="1" x14ac:dyDescent="0.35">
      <c r="A17" s="92" t="s">
        <v>197</v>
      </c>
      <c r="B17" s="192" t="s">
        <v>225</v>
      </c>
      <c r="C17" s="75" t="s">
        <v>887</v>
      </c>
      <c r="D17" s="153" t="s">
        <v>42</v>
      </c>
      <c r="E17" s="154">
        <v>4</v>
      </c>
      <c r="F17" s="507">
        <v>29566.67</v>
      </c>
      <c r="G17" s="508">
        <v>2361</v>
      </c>
      <c r="H17" s="499">
        <f t="shared" si="0"/>
        <v>127710.68</v>
      </c>
    </row>
    <row r="18" spans="1:8" ht="31.5" customHeight="1" thickBot="1" x14ac:dyDescent="0.35">
      <c r="A18" s="92" t="s">
        <v>237</v>
      </c>
      <c r="B18" s="192" t="s">
        <v>224</v>
      </c>
      <c r="C18" s="81" t="s">
        <v>888</v>
      </c>
      <c r="D18" s="153" t="s">
        <v>42</v>
      </c>
      <c r="E18" s="154">
        <v>2</v>
      </c>
      <c r="F18" s="507">
        <v>19655</v>
      </c>
      <c r="G18" s="508">
        <v>4250</v>
      </c>
      <c r="H18" s="499">
        <f t="shared" si="0"/>
        <v>47810</v>
      </c>
    </row>
    <row r="19" spans="1:8" ht="31.5" customHeight="1" thickBot="1" x14ac:dyDescent="0.35">
      <c r="A19" s="92" t="s">
        <v>238</v>
      </c>
      <c r="B19" s="192" t="s">
        <v>512</v>
      </c>
      <c r="C19" s="81" t="s">
        <v>292</v>
      </c>
      <c r="D19" s="72" t="s">
        <v>42</v>
      </c>
      <c r="E19" s="154">
        <v>2</v>
      </c>
      <c r="F19" s="507">
        <v>68539</v>
      </c>
      <c r="G19" s="508">
        <v>7328</v>
      </c>
      <c r="H19" s="499">
        <f t="shared" si="0"/>
        <v>151734</v>
      </c>
    </row>
    <row r="20" spans="1:8" ht="31.5" customHeight="1" thickBot="1" x14ac:dyDescent="0.35">
      <c r="A20" s="92" t="s">
        <v>239</v>
      </c>
      <c r="B20" s="192" t="s">
        <v>44</v>
      </c>
      <c r="C20" s="44" t="s">
        <v>523</v>
      </c>
      <c r="D20" s="550" t="s">
        <v>42</v>
      </c>
      <c r="E20" s="154">
        <v>6</v>
      </c>
      <c r="F20" s="507">
        <v>9563.7099999999991</v>
      </c>
      <c r="G20" s="496">
        <v>1241.58</v>
      </c>
      <c r="H20" s="499">
        <f t="shared" si="0"/>
        <v>64831.739999999991</v>
      </c>
    </row>
    <row r="21" spans="1:8" ht="31.5" customHeight="1" thickBot="1" x14ac:dyDescent="0.35">
      <c r="A21" s="92" t="s">
        <v>385</v>
      </c>
      <c r="B21" s="192" t="s">
        <v>235</v>
      </c>
      <c r="C21" s="90" t="s">
        <v>524</v>
      </c>
      <c r="D21" s="72" t="s">
        <v>42</v>
      </c>
      <c r="E21" s="154">
        <v>0</v>
      </c>
      <c r="F21" s="507">
        <v>25639.51</v>
      </c>
      <c r="G21" s="496">
        <v>4024</v>
      </c>
      <c r="H21" s="499">
        <f t="shared" ref="H21:H26" si="1">SUM(F21:G21)*E21</f>
        <v>0</v>
      </c>
    </row>
    <row r="22" spans="1:8" ht="31.5" customHeight="1" thickBot="1" x14ac:dyDescent="0.35">
      <c r="A22" s="92" t="s">
        <v>386</v>
      </c>
      <c r="B22" s="192" t="s">
        <v>513</v>
      </c>
      <c r="C22" s="74" t="s">
        <v>731</v>
      </c>
      <c r="D22" s="72" t="s">
        <v>42</v>
      </c>
      <c r="E22" s="154">
        <v>0</v>
      </c>
      <c r="F22" s="507">
        <v>6427</v>
      </c>
      <c r="G22" s="496">
        <v>1895</v>
      </c>
      <c r="H22" s="499">
        <f t="shared" si="1"/>
        <v>0</v>
      </c>
    </row>
    <row r="23" spans="1:8" ht="31.5" customHeight="1" thickBot="1" x14ac:dyDescent="0.35">
      <c r="A23" s="92" t="s">
        <v>387</v>
      </c>
      <c r="B23" s="192" t="s">
        <v>222</v>
      </c>
      <c r="C23" s="75" t="s">
        <v>525</v>
      </c>
      <c r="D23" s="72" t="s">
        <v>42</v>
      </c>
      <c r="E23" s="154">
        <v>2</v>
      </c>
      <c r="F23" s="507">
        <v>3117.3</v>
      </c>
      <c r="G23" s="496">
        <v>689</v>
      </c>
      <c r="H23" s="499">
        <f t="shared" si="1"/>
        <v>7612.6</v>
      </c>
    </row>
    <row r="24" spans="1:8" ht="31.5" customHeight="1" thickBot="1" x14ac:dyDescent="0.35">
      <c r="A24" s="92" t="s">
        <v>388</v>
      </c>
      <c r="B24" s="192" t="s">
        <v>514</v>
      </c>
      <c r="C24" s="74" t="s">
        <v>293</v>
      </c>
      <c r="D24" s="72" t="s">
        <v>42</v>
      </c>
      <c r="E24" s="72">
        <v>2</v>
      </c>
      <c r="F24" s="496">
        <v>12433.67</v>
      </c>
      <c r="G24" s="496">
        <v>2361</v>
      </c>
      <c r="H24" s="499">
        <f t="shared" si="1"/>
        <v>29589.34</v>
      </c>
    </row>
    <row r="25" spans="1:8" ht="31.5" customHeight="1" thickBot="1" x14ac:dyDescent="0.35">
      <c r="A25" s="92" t="s">
        <v>389</v>
      </c>
      <c r="B25" s="193" t="s">
        <v>294</v>
      </c>
      <c r="C25" s="74" t="s">
        <v>997</v>
      </c>
      <c r="D25" s="72"/>
      <c r="E25" s="72">
        <v>15</v>
      </c>
      <c r="F25" s="496">
        <v>8566.98</v>
      </c>
      <c r="G25" s="496">
        <v>950</v>
      </c>
      <c r="H25" s="500">
        <f t="shared" si="1"/>
        <v>142754.69999999998</v>
      </c>
    </row>
    <row r="26" spans="1:8" ht="31.5" customHeight="1" thickBot="1" x14ac:dyDescent="0.35">
      <c r="A26" s="92" t="s">
        <v>734</v>
      </c>
      <c r="B26" s="192"/>
      <c r="C26" s="74" t="s">
        <v>737</v>
      </c>
      <c r="D26" s="72" t="s">
        <v>42</v>
      </c>
      <c r="E26" s="154">
        <v>3</v>
      </c>
      <c r="F26" s="507">
        <v>29655.7</v>
      </c>
      <c r="G26" s="496">
        <v>2750</v>
      </c>
      <c r="H26" s="499">
        <f t="shared" si="1"/>
        <v>97217.1</v>
      </c>
    </row>
    <row r="27" spans="1:8" ht="35.549999999999997" customHeight="1" thickBot="1" x14ac:dyDescent="0.35">
      <c r="A27" s="930" t="s">
        <v>123</v>
      </c>
      <c r="B27" s="931"/>
      <c r="C27" s="931"/>
      <c r="D27" s="931"/>
      <c r="E27" s="931"/>
      <c r="F27" s="931"/>
      <c r="G27" s="932"/>
      <c r="H27" s="509">
        <f>SUM(H7:H26)</f>
        <v>978406.69999999984</v>
      </c>
    </row>
    <row r="28" spans="1:8" ht="15" thickBot="1" x14ac:dyDescent="0.35">
      <c r="A28" s="106" t="s">
        <v>37</v>
      </c>
      <c r="B28" s="1003" t="s">
        <v>1</v>
      </c>
      <c r="C28" s="1001" t="s">
        <v>2</v>
      </c>
      <c r="D28" s="1003" t="s">
        <v>3</v>
      </c>
      <c r="E28" s="1003" t="s">
        <v>4</v>
      </c>
      <c r="F28" s="1005" t="s">
        <v>5</v>
      </c>
      <c r="G28" s="1007"/>
      <c r="H28" s="1003" t="s">
        <v>6</v>
      </c>
    </row>
    <row r="29" spans="1:8" ht="15" thickBot="1" x14ac:dyDescent="0.35">
      <c r="A29" s="402" t="s">
        <v>38</v>
      </c>
      <c r="B29" s="1004"/>
      <c r="C29" s="1002"/>
      <c r="D29" s="1004"/>
      <c r="E29" s="1004"/>
      <c r="F29" s="67" t="s">
        <v>7</v>
      </c>
      <c r="G29" s="68" t="s">
        <v>8</v>
      </c>
      <c r="H29" s="1004"/>
    </row>
    <row r="30" spans="1:8" ht="35.549999999999997" customHeight="1" thickBot="1" x14ac:dyDescent="0.35">
      <c r="A30" s="930" t="s">
        <v>566</v>
      </c>
      <c r="B30" s="931"/>
      <c r="C30" s="931"/>
      <c r="D30" s="931"/>
      <c r="E30" s="931"/>
      <c r="F30" s="931"/>
      <c r="G30" s="932"/>
      <c r="H30" s="509">
        <f>H27</f>
        <v>978406.69999999984</v>
      </c>
    </row>
    <row r="31" spans="1:8" ht="42" thickBot="1" x14ac:dyDescent="0.35">
      <c r="A31" s="92" t="s">
        <v>735</v>
      </c>
      <c r="B31" s="192"/>
      <c r="C31" s="74" t="s">
        <v>928</v>
      </c>
      <c r="D31" s="403" t="s">
        <v>42</v>
      </c>
      <c r="E31" s="191">
        <v>0</v>
      </c>
      <c r="F31" s="507">
        <v>57847.73</v>
      </c>
      <c r="G31" s="507">
        <v>5250</v>
      </c>
      <c r="H31" s="499">
        <f>(F31+G31)*E31</f>
        <v>0</v>
      </c>
    </row>
    <row r="32" spans="1:8" ht="28.2" thickBot="1" x14ac:dyDescent="0.35">
      <c r="A32" s="92" t="s">
        <v>736</v>
      </c>
      <c r="B32" s="192"/>
      <c r="C32" s="74" t="s">
        <v>732</v>
      </c>
      <c r="D32" s="404" t="s">
        <v>42</v>
      </c>
      <c r="E32" s="191">
        <v>0</v>
      </c>
      <c r="F32" s="507">
        <v>41243.769999999997</v>
      </c>
      <c r="G32" s="507">
        <v>18395.176800000001</v>
      </c>
      <c r="H32" s="499">
        <f>(F32+G32)*E32</f>
        <v>0</v>
      </c>
    </row>
    <row r="33" spans="1:8" ht="28.2" thickBot="1" x14ac:dyDescent="0.35">
      <c r="A33" s="92" t="s">
        <v>738</v>
      </c>
      <c r="B33" s="192"/>
      <c r="C33" s="150" t="s">
        <v>733</v>
      </c>
      <c r="D33" s="404" t="s">
        <v>42</v>
      </c>
      <c r="E33" s="191">
        <v>0</v>
      </c>
      <c r="F33" s="507">
        <v>18889.53</v>
      </c>
      <c r="G33" s="507">
        <v>1250</v>
      </c>
      <c r="H33" s="499">
        <f>(F33+G33)*E33</f>
        <v>0</v>
      </c>
    </row>
    <row r="34" spans="1:8" ht="35.549999999999997" customHeight="1" thickBot="1" x14ac:dyDescent="0.35">
      <c r="A34" s="983" t="s">
        <v>198</v>
      </c>
      <c r="B34" s="984"/>
      <c r="C34" s="984"/>
      <c r="D34" s="984"/>
      <c r="E34" s="984"/>
      <c r="F34" s="34"/>
      <c r="G34" s="208"/>
      <c r="H34" s="862"/>
    </row>
    <row r="35" spans="1:8" x14ac:dyDescent="0.3">
      <c r="A35" s="1"/>
    </row>
  </sheetData>
  <mergeCells count="15">
    <mergeCell ref="A34:E34"/>
    <mergeCell ref="B2:B3"/>
    <mergeCell ref="C2:C3"/>
    <mergeCell ref="D2:D3"/>
    <mergeCell ref="E2:E3"/>
    <mergeCell ref="H28:H29"/>
    <mergeCell ref="A30:G30"/>
    <mergeCell ref="H2:H3"/>
    <mergeCell ref="A27:G27"/>
    <mergeCell ref="B28:B29"/>
    <mergeCell ref="F2:G2"/>
    <mergeCell ref="C28:C29"/>
    <mergeCell ref="D28:D29"/>
    <mergeCell ref="E28:E29"/>
    <mergeCell ref="F28:G28"/>
  </mergeCells>
  <phoneticPr fontId="19" type="noConversion"/>
  <pageMargins left="0.70866141732283472" right="0.70866141732283472" top="0.74803149606299213" bottom="0.74803149606299213" header="0.31496062992125984" footer="0.31496062992125984"/>
  <pageSetup paperSize="9" scale="71" fitToHeight="0" orientation="portrait" r:id="rId1"/>
  <rowBreaks count="1" manualBreakCount="1">
    <brk id="27" max="7"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H20"/>
  <sheetViews>
    <sheetView view="pageBreakPreview" topLeftCell="A9" zoomScaleNormal="100" zoomScaleSheetLayoutView="100" workbookViewId="0">
      <selection activeCell="H19" sqref="H19"/>
    </sheetView>
  </sheetViews>
  <sheetFormatPr defaultRowHeight="14.4" x14ac:dyDescent="0.3"/>
  <cols>
    <col min="1" max="1" width="5.88671875" customWidth="1"/>
    <col min="2" max="2" width="7.5546875" style="389" customWidth="1"/>
    <col min="3" max="3" width="24.77734375" bestFit="1" customWidth="1"/>
    <col min="4" max="4" width="7" customWidth="1"/>
    <col min="5" max="5" width="6" customWidth="1"/>
    <col min="6" max="6" width="9.6640625" customWidth="1"/>
    <col min="7" max="7" width="11.5546875" bestFit="1" customWidth="1"/>
    <col min="8" max="8" width="36.33203125" customWidth="1"/>
  </cols>
  <sheetData>
    <row r="1" spans="1:8" ht="15" thickBot="1" x14ac:dyDescent="0.35"/>
    <row r="2" spans="1:8" ht="32.25" customHeight="1" thickBot="1" x14ac:dyDescent="0.35">
      <c r="A2" s="163" t="s">
        <v>37</v>
      </c>
      <c r="B2" s="1003" t="s">
        <v>1</v>
      </c>
      <c r="C2" s="1001" t="s">
        <v>2</v>
      </c>
      <c r="D2" s="1003" t="s">
        <v>3</v>
      </c>
      <c r="E2" s="1003" t="s">
        <v>4</v>
      </c>
      <c r="F2" s="1005" t="s">
        <v>5</v>
      </c>
      <c r="G2" s="1007"/>
      <c r="H2" s="1003" t="s">
        <v>6</v>
      </c>
    </row>
    <row r="3" spans="1:8" ht="15" thickBot="1" x14ac:dyDescent="0.35">
      <c r="A3" s="60" t="s">
        <v>38</v>
      </c>
      <c r="B3" s="1004"/>
      <c r="C3" s="1002"/>
      <c r="D3" s="1004"/>
      <c r="E3" s="1004"/>
      <c r="F3" s="67" t="s">
        <v>7</v>
      </c>
      <c r="G3" s="68" t="s">
        <v>8</v>
      </c>
      <c r="H3" s="1004"/>
    </row>
    <row r="4" spans="1:8" ht="18.75" customHeight="1" thickBot="1" x14ac:dyDescent="0.35">
      <c r="A4" s="13"/>
      <c r="B4" s="836"/>
      <c r="C4" s="549" t="s">
        <v>118</v>
      </c>
      <c r="D4" s="182"/>
      <c r="E4" s="182"/>
      <c r="F4" s="56"/>
      <c r="G4" s="40"/>
      <c r="H4" s="183"/>
    </row>
    <row r="5" spans="1:8" ht="15" thickBot="1" x14ac:dyDescent="0.35">
      <c r="A5" s="381">
        <v>7</v>
      </c>
      <c r="B5" s="425"/>
      <c r="C5" s="446" t="s">
        <v>960</v>
      </c>
      <c r="D5" s="182"/>
      <c r="E5" s="11"/>
      <c r="F5" s="989"/>
      <c r="G5" s="990"/>
      <c r="H5" s="64"/>
    </row>
    <row r="6" spans="1:8" ht="55.8" thickBot="1" x14ac:dyDescent="0.35">
      <c r="A6" s="381">
        <v>7.1</v>
      </c>
      <c r="B6" s="194" t="s">
        <v>107</v>
      </c>
      <c r="C6" s="447" t="s">
        <v>104</v>
      </c>
      <c r="D6" s="183"/>
      <c r="E6" s="40"/>
      <c r="F6" s="69"/>
      <c r="G6" s="40"/>
      <c r="H6" s="176"/>
    </row>
    <row r="7" spans="1:8" ht="27.75" customHeight="1" thickBot="1" x14ac:dyDescent="0.35">
      <c r="A7" s="55"/>
      <c r="B7" s="188"/>
      <c r="C7" s="448" t="s">
        <v>105</v>
      </c>
      <c r="D7" s="162"/>
      <c r="E7" s="162"/>
      <c r="F7" s="162"/>
      <c r="G7" s="162"/>
      <c r="H7" s="66"/>
    </row>
    <row r="8" spans="1:8" ht="28.2" thickBot="1" x14ac:dyDescent="0.35">
      <c r="A8" s="55" t="s">
        <v>156</v>
      </c>
      <c r="B8" s="188"/>
      <c r="C8" s="449" t="s">
        <v>106</v>
      </c>
      <c r="D8" s="162"/>
      <c r="E8" s="162"/>
      <c r="F8" s="162"/>
      <c r="G8" s="162"/>
      <c r="H8" s="66"/>
    </row>
    <row r="9" spans="1:8" ht="42" thickBot="1" x14ac:dyDescent="0.35">
      <c r="A9" s="160" t="s">
        <v>207</v>
      </c>
      <c r="B9" s="188" t="s">
        <v>48</v>
      </c>
      <c r="C9" s="187" t="s">
        <v>967</v>
      </c>
      <c r="D9" s="153" t="s">
        <v>42</v>
      </c>
      <c r="E9" s="153">
        <v>706</v>
      </c>
      <c r="F9" s="516">
        <v>558</v>
      </c>
      <c r="G9" s="516">
        <v>50</v>
      </c>
      <c r="H9" s="492">
        <f>SUM(F9:G9)*E9</f>
        <v>429248</v>
      </c>
    </row>
    <row r="10" spans="1:8" ht="55.8" thickBot="1" x14ac:dyDescent="0.35">
      <c r="A10" s="12" t="s">
        <v>208</v>
      </c>
      <c r="B10" s="188"/>
      <c r="C10" s="187" t="s">
        <v>966</v>
      </c>
      <c r="D10" s="123" t="s">
        <v>42</v>
      </c>
      <c r="E10" s="123">
        <v>102</v>
      </c>
      <c r="F10" s="556">
        <v>450</v>
      </c>
      <c r="G10" s="556">
        <v>50</v>
      </c>
      <c r="H10" s="496">
        <f>SUM(F10:G10)*E10</f>
        <v>51000</v>
      </c>
    </row>
    <row r="11" spans="1:8" ht="28.2" thickBot="1" x14ac:dyDescent="0.35">
      <c r="A11" s="210">
        <v>7.2</v>
      </c>
      <c r="B11" s="195" t="s">
        <v>265</v>
      </c>
      <c r="C11" s="450" t="s">
        <v>108</v>
      </c>
      <c r="D11" s="183"/>
      <c r="E11" s="183"/>
      <c r="F11" s="741"/>
      <c r="G11" s="741"/>
      <c r="H11" s="197"/>
    </row>
    <row r="12" spans="1:8" ht="30.75" customHeight="1" thickBot="1" x14ac:dyDescent="0.35">
      <c r="A12" s="382" t="s">
        <v>157</v>
      </c>
      <c r="B12" s="188"/>
      <c r="C12" s="187" t="s">
        <v>109</v>
      </c>
      <c r="D12" s="183"/>
      <c r="E12" s="183"/>
      <c r="F12" s="742"/>
      <c r="G12" s="743"/>
      <c r="H12" s="196"/>
    </row>
    <row r="13" spans="1:8" ht="55.8" thickBot="1" x14ac:dyDescent="0.35">
      <c r="A13" s="382" t="s">
        <v>158</v>
      </c>
      <c r="B13" s="188"/>
      <c r="C13" s="187" t="s">
        <v>526</v>
      </c>
      <c r="D13" s="154" t="s">
        <v>42</v>
      </c>
      <c r="E13" s="154">
        <v>20</v>
      </c>
      <c r="F13" s="511">
        <v>375</v>
      </c>
      <c r="G13" s="512">
        <v>230</v>
      </c>
      <c r="H13" s="503">
        <f>E13*(F13+G13)</f>
        <v>12100</v>
      </c>
    </row>
    <row r="14" spans="1:8" ht="24" customHeight="1" thickBot="1" x14ac:dyDescent="0.35">
      <c r="A14" s="383">
        <v>7.3</v>
      </c>
      <c r="B14" s="188"/>
      <c r="C14" s="451" t="s">
        <v>110</v>
      </c>
      <c r="D14" s="162"/>
      <c r="E14" s="162"/>
      <c r="F14" s="744"/>
      <c r="G14" s="744"/>
      <c r="H14" s="503"/>
    </row>
    <row r="15" spans="1:8" ht="42" thickBot="1" x14ac:dyDescent="0.35">
      <c r="A15" s="160" t="s">
        <v>963</v>
      </c>
      <c r="B15" s="188"/>
      <c r="C15" s="187" t="s">
        <v>270</v>
      </c>
      <c r="D15" s="72" t="s">
        <v>42</v>
      </c>
      <c r="E15" s="72">
        <v>10</v>
      </c>
      <c r="F15" s="496">
        <v>245</v>
      </c>
      <c r="G15" s="496">
        <v>164</v>
      </c>
      <c r="H15" s="496">
        <f>E15*(F15+G15)</f>
        <v>4090</v>
      </c>
    </row>
    <row r="16" spans="1:8" ht="8.4" hidden="1" customHeight="1" thickBot="1" x14ac:dyDescent="0.35">
      <c r="A16" s="125"/>
      <c r="B16" s="207"/>
      <c r="C16" s="452"/>
      <c r="D16" s="154"/>
      <c r="E16" s="186"/>
      <c r="F16" s="540"/>
      <c r="G16" s="540"/>
      <c r="H16" s="496">
        <f>E16*(F16+G16)</f>
        <v>0</v>
      </c>
    </row>
    <row r="17" spans="1:8" ht="15" thickBot="1" x14ac:dyDescent="0.35">
      <c r="A17" s="210">
        <v>7.4</v>
      </c>
      <c r="B17" s="195"/>
      <c r="C17" s="453" t="s">
        <v>111</v>
      </c>
      <c r="D17" s="99"/>
      <c r="E17" s="99"/>
      <c r="F17" s="557"/>
      <c r="G17" s="557"/>
      <c r="H17" s="496"/>
    </row>
    <row r="18" spans="1:8" ht="42" thickBot="1" x14ac:dyDescent="0.35">
      <c r="A18" s="160" t="s">
        <v>159</v>
      </c>
      <c r="B18" s="188"/>
      <c r="C18" s="454" t="s">
        <v>527</v>
      </c>
      <c r="D18" s="72" t="s">
        <v>42</v>
      </c>
      <c r="E18" s="153">
        <v>10</v>
      </c>
      <c r="F18" s="516">
        <v>387</v>
      </c>
      <c r="G18" s="496">
        <v>164</v>
      </c>
      <c r="H18" s="496">
        <f>E18*(F18+G18)</f>
        <v>5510</v>
      </c>
    </row>
    <row r="19" spans="1:8" ht="35.549999999999997" customHeight="1" thickBot="1" x14ac:dyDescent="0.35">
      <c r="A19" s="983" t="s">
        <v>209</v>
      </c>
      <c r="B19" s="984"/>
      <c r="C19" s="984"/>
      <c r="D19" s="984"/>
      <c r="E19" s="984"/>
      <c r="F19" s="984"/>
      <c r="G19" s="34"/>
      <c r="H19" s="864"/>
    </row>
    <row r="20" spans="1:8" ht="15" x14ac:dyDescent="0.3">
      <c r="A20" s="3"/>
    </row>
  </sheetData>
  <mergeCells count="8">
    <mergeCell ref="F5:G5"/>
    <mergeCell ref="A19:F19"/>
    <mergeCell ref="H2:H3"/>
    <mergeCell ref="B2:B3"/>
    <mergeCell ref="C2:C3"/>
    <mergeCell ref="D2:D3"/>
    <mergeCell ref="E2:E3"/>
    <mergeCell ref="F2:G2"/>
  </mergeCells>
  <pageMargins left="0.7" right="0.7" top="0.75" bottom="0.75" header="0.3" footer="0.3"/>
  <pageSetup paperSize="9" scale="80" fitToHeight="0"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4C158-9AE0-4D4A-B84F-864B194DCA44}">
  <sheetPr>
    <pageSetUpPr fitToPage="1"/>
  </sheetPr>
  <dimension ref="A1:H33"/>
  <sheetViews>
    <sheetView view="pageBreakPreview" topLeftCell="A26" zoomScaleNormal="100" zoomScaleSheetLayoutView="100" workbookViewId="0">
      <selection activeCell="H33" sqref="H33"/>
    </sheetView>
  </sheetViews>
  <sheetFormatPr defaultColWidth="8.77734375" defaultRowHeight="13.8" x14ac:dyDescent="0.25"/>
  <cols>
    <col min="1" max="1" width="6.109375" style="616" customWidth="1"/>
    <col min="2" max="2" width="8" style="850" customWidth="1"/>
    <col min="3" max="3" width="30" style="616" customWidth="1"/>
    <col min="4" max="4" width="7.88671875" style="616" customWidth="1"/>
    <col min="5" max="5" width="6.6640625" style="616" customWidth="1"/>
    <col min="6" max="7" width="10.88671875" style="616" customWidth="1"/>
    <col min="8" max="8" width="36.33203125" style="616" customWidth="1"/>
    <col min="9" max="16384" width="8.77734375" style="616"/>
  </cols>
  <sheetData>
    <row r="1" spans="1:8" ht="14.4" thickBot="1" x14ac:dyDescent="0.3"/>
    <row r="2" spans="1:8" ht="14.4" thickBot="1" x14ac:dyDescent="0.3">
      <c r="A2" s="605" t="s">
        <v>37</v>
      </c>
      <c r="B2" s="1003" t="s">
        <v>1</v>
      </c>
      <c r="C2" s="1013" t="s">
        <v>2</v>
      </c>
      <c r="D2" s="1011" t="s">
        <v>3</v>
      </c>
      <c r="E2" s="1011" t="s">
        <v>4</v>
      </c>
      <c r="F2" s="1015" t="s">
        <v>5</v>
      </c>
      <c r="G2" s="1016"/>
      <c r="H2" s="1011" t="s">
        <v>6</v>
      </c>
    </row>
    <row r="3" spans="1:8" ht="14.4" thickBot="1" x14ac:dyDescent="0.3">
      <c r="A3" s="805" t="s">
        <v>38</v>
      </c>
      <c r="B3" s="1004"/>
      <c r="C3" s="1014"/>
      <c r="D3" s="1012"/>
      <c r="E3" s="1012"/>
      <c r="F3" s="218" t="s">
        <v>7</v>
      </c>
      <c r="G3" s="219" t="s">
        <v>8</v>
      </c>
      <c r="H3" s="1012"/>
    </row>
    <row r="4" spans="1:8" ht="14.4" thickBot="1" x14ac:dyDescent="0.3">
      <c r="A4" s="805"/>
      <c r="B4" s="851"/>
      <c r="C4" s="455" t="s">
        <v>119</v>
      </c>
      <c r="D4" s="215"/>
      <c r="E4" s="215"/>
      <c r="F4" s="806"/>
      <c r="G4" s="807"/>
      <c r="H4" s="215"/>
    </row>
    <row r="5" spans="1:8" ht="14.4" thickBot="1" x14ac:dyDescent="0.3">
      <c r="A5" s="808">
        <v>8</v>
      </c>
      <c r="B5" s="836"/>
      <c r="C5" s="456" t="s">
        <v>227</v>
      </c>
      <c r="D5" s="459"/>
      <c r="E5" s="459"/>
      <c r="F5" s="809"/>
      <c r="G5" s="810"/>
      <c r="H5" s="811"/>
    </row>
    <row r="6" spans="1:8" ht="14.4" thickBot="1" x14ac:dyDescent="0.3">
      <c r="A6" s="808">
        <v>8.1</v>
      </c>
      <c r="B6" s="194"/>
      <c r="C6" s="457" t="s">
        <v>45</v>
      </c>
      <c r="D6" s="460"/>
      <c r="E6" s="460"/>
      <c r="F6" s="809"/>
      <c r="G6" s="810"/>
      <c r="H6" s="812"/>
    </row>
    <row r="7" spans="1:8" ht="31.5" customHeight="1" x14ac:dyDescent="0.25">
      <c r="A7" s="1026" t="s">
        <v>199</v>
      </c>
      <c r="B7" s="188" t="s">
        <v>46</v>
      </c>
      <c r="C7" s="1028" t="s">
        <v>1061</v>
      </c>
      <c r="D7" s="1026" t="s">
        <v>35</v>
      </c>
      <c r="E7" s="1026">
        <f>150*70*0.15</f>
        <v>1575</v>
      </c>
      <c r="F7" s="1017">
        <v>962</v>
      </c>
      <c r="G7" s="1017">
        <v>169</v>
      </c>
      <c r="H7" s="1017">
        <f>SUM(F7:G8)*E7</f>
        <v>1781325</v>
      </c>
    </row>
    <row r="8" spans="1:8" ht="31.5" customHeight="1" thickBot="1" x14ac:dyDescent="0.3">
      <c r="A8" s="1027"/>
      <c r="B8" s="194" t="s">
        <v>47</v>
      </c>
      <c r="C8" s="1029"/>
      <c r="D8" s="1027"/>
      <c r="E8" s="1027"/>
      <c r="F8" s="1018"/>
      <c r="G8" s="1018"/>
      <c r="H8" s="1018"/>
    </row>
    <row r="9" spans="1:8" ht="42" thickBot="1" x14ac:dyDescent="0.3">
      <c r="A9" s="791">
        <v>8.1999999999999993</v>
      </c>
      <c r="B9" s="188"/>
      <c r="C9" s="813" t="s">
        <v>1062</v>
      </c>
      <c r="D9" s="814"/>
      <c r="E9" s="814"/>
      <c r="F9" s="510"/>
      <c r="G9" s="510"/>
      <c r="H9" s="192"/>
    </row>
    <row r="10" spans="1:8" ht="83.4" thickBot="1" x14ac:dyDescent="0.3">
      <c r="A10" s="607" t="s">
        <v>200</v>
      </c>
      <c r="B10" s="188"/>
      <c r="C10" s="815" t="s">
        <v>296</v>
      </c>
      <c r="D10" s="607" t="s">
        <v>35</v>
      </c>
      <c r="E10" s="607">
        <f>3*6*0.25*3</f>
        <v>13.5</v>
      </c>
      <c r="F10" s="192">
        <v>6775</v>
      </c>
      <c r="G10" s="192">
        <v>3387</v>
      </c>
      <c r="H10" s="499">
        <f>E10*(F10+G10)</f>
        <v>137187</v>
      </c>
    </row>
    <row r="11" spans="1:8" x14ac:dyDescent="0.25">
      <c r="A11" s="1019">
        <v>8.3000000000000007</v>
      </c>
      <c r="B11" s="993"/>
      <c r="C11" s="813" t="s">
        <v>49</v>
      </c>
      <c r="D11" s="1022"/>
      <c r="E11" s="1022"/>
      <c r="F11" s="1022"/>
      <c r="G11" s="1022"/>
      <c r="H11" s="1024"/>
    </row>
    <row r="12" spans="1:8" ht="28.2" thickBot="1" x14ac:dyDescent="0.3">
      <c r="A12" s="1020"/>
      <c r="B12" s="1021"/>
      <c r="C12" s="816" t="s">
        <v>226</v>
      </c>
      <c r="D12" s="1023"/>
      <c r="E12" s="1023"/>
      <c r="F12" s="1023"/>
      <c r="G12" s="1023"/>
      <c r="H12" s="1025"/>
    </row>
    <row r="13" spans="1:8" ht="31.5" customHeight="1" thickBot="1" x14ac:dyDescent="0.3">
      <c r="A13" s="817" t="s">
        <v>201</v>
      </c>
      <c r="B13" s="188" t="s">
        <v>52</v>
      </c>
      <c r="C13" s="815" t="s">
        <v>50</v>
      </c>
      <c r="D13" s="608" t="s">
        <v>36</v>
      </c>
      <c r="E13" s="608">
        <v>100</v>
      </c>
      <c r="F13" s="507">
        <v>521</v>
      </c>
      <c r="G13" s="508">
        <v>259</v>
      </c>
      <c r="H13" s="503">
        <f>SUM(F13:G13)*E13</f>
        <v>78000</v>
      </c>
    </row>
    <row r="14" spans="1:8" ht="18.75" customHeight="1" x14ac:dyDescent="0.25">
      <c r="A14" s="1019">
        <v>8.4</v>
      </c>
      <c r="B14" s="993" t="s">
        <v>52</v>
      </c>
      <c r="C14" s="813" t="s">
        <v>112</v>
      </c>
      <c r="D14" s="1022"/>
      <c r="E14" s="1022"/>
      <c r="F14" s="1022"/>
      <c r="G14" s="1022"/>
      <c r="H14" s="1024"/>
    </row>
    <row r="15" spans="1:8" ht="39.75" customHeight="1" thickBot="1" x14ac:dyDescent="0.3">
      <c r="A15" s="1020"/>
      <c r="B15" s="1021"/>
      <c r="C15" s="816" t="s">
        <v>226</v>
      </c>
      <c r="D15" s="1023"/>
      <c r="E15" s="1023"/>
      <c r="F15" s="1023"/>
      <c r="G15" s="1023"/>
      <c r="H15" s="1025"/>
    </row>
    <row r="16" spans="1:8" ht="31.5" customHeight="1" thickBot="1" x14ac:dyDescent="0.3">
      <c r="A16" s="817" t="s">
        <v>202</v>
      </c>
      <c r="B16" s="188"/>
      <c r="C16" s="815" t="s">
        <v>51</v>
      </c>
      <c r="D16" s="608" t="s">
        <v>13</v>
      </c>
      <c r="E16" s="608">
        <v>1</v>
      </c>
      <c r="F16" s="511">
        <v>196364</v>
      </c>
      <c r="G16" s="512">
        <v>98182</v>
      </c>
      <c r="H16" s="503">
        <f>SUM(F16:G16)*E16</f>
        <v>294546</v>
      </c>
    </row>
    <row r="17" spans="1:8" ht="31.5" customHeight="1" thickBot="1" x14ac:dyDescent="0.3">
      <c r="A17" s="817" t="s">
        <v>203</v>
      </c>
      <c r="B17" s="188" t="s">
        <v>52</v>
      </c>
      <c r="C17" s="815" t="s">
        <v>1029</v>
      </c>
      <c r="D17" s="818" t="s">
        <v>13</v>
      </c>
      <c r="E17" s="818">
        <v>1</v>
      </c>
      <c r="F17" s="507">
        <v>19289</v>
      </c>
      <c r="G17" s="508">
        <v>9860</v>
      </c>
      <c r="H17" s="503">
        <f>SUM(F17:G17)*E17</f>
        <v>29149</v>
      </c>
    </row>
    <row r="18" spans="1:8" ht="14.4" thickTop="1" x14ac:dyDescent="0.25">
      <c r="A18" s="808">
        <v>8.5</v>
      </c>
      <c r="B18" s="188"/>
      <c r="C18" s="813" t="s">
        <v>122</v>
      </c>
      <c r="D18" s="819"/>
      <c r="E18" s="819"/>
      <c r="F18" s="820"/>
      <c r="G18" s="821"/>
      <c r="H18" s="822"/>
    </row>
    <row r="19" spans="1:8" ht="39.75" customHeight="1" thickBot="1" x14ac:dyDescent="0.3">
      <c r="A19" s="823"/>
      <c r="B19" s="207"/>
      <c r="C19" s="824" t="s">
        <v>226</v>
      </c>
      <c r="D19" s="825"/>
      <c r="E19" s="826"/>
      <c r="F19" s="820"/>
      <c r="G19" s="821"/>
      <c r="H19" s="822"/>
    </row>
    <row r="20" spans="1:8" ht="113.4" customHeight="1" thickTop="1" thickBot="1" x14ac:dyDescent="0.3">
      <c r="A20" s="827" t="s">
        <v>204</v>
      </c>
      <c r="B20" s="194"/>
      <c r="C20" s="816" t="s">
        <v>297</v>
      </c>
      <c r="D20" s="828" t="s">
        <v>35</v>
      </c>
      <c r="E20" s="828">
        <f>5*0.25*22</f>
        <v>27.5</v>
      </c>
      <c r="F20" s="513">
        <v>3100</v>
      </c>
      <c r="G20" s="514">
        <f>F20*0.3</f>
        <v>930</v>
      </c>
      <c r="H20" s="515">
        <f>E20*(F20+G20)</f>
        <v>110825</v>
      </c>
    </row>
    <row r="21" spans="1:8" ht="16.8" customHeight="1" x14ac:dyDescent="0.25">
      <c r="A21" s="1019">
        <v>8.6</v>
      </c>
      <c r="B21" s="993" t="s">
        <v>53</v>
      </c>
      <c r="C21" s="813" t="s">
        <v>54</v>
      </c>
      <c r="D21" s="1022"/>
      <c r="E21" s="1022"/>
      <c r="F21" s="1022"/>
      <c r="G21" s="1022"/>
      <c r="H21" s="1024"/>
    </row>
    <row r="22" spans="1:8" ht="28.2" thickBot="1" x14ac:dyDescent="0.3">
      <c r="A22" s="1020"/>
      <c r="B22" s="1021"/>
      <c r="C22" s="606" t="s">
        <v>55</v>
      </c>
      <c r="D22" s="1023"/>
      <c r="E22" s="1023"/>
      <c r="F22" s="1023"/>
      <c r="G22" s="1023"/>
      <c r="H22" s="1025"/>
    </row>
    <row r="23" spans="1:8" ht="31.5" customHeight="1" thickBot="1" x14ac:dyDescent="0.3">
      <c r="A23" s="817" t="s">
        <v>205</v>
      </c>
      <c r="B23" s="188"/>
      <c r="C23" s="815" t="s">
        <v>56</v>
      </c>
      <c r="D23" s="608" t="s">
        <v>57</v>
      </c>
      <c r="E23" s="608">
        <v>3</v>
      </c>
      <c r="F23" s="507">
        <v>12750</v>
      </c>
      <c r="G23" s="508">
        <v>6375</v>
      </c>
      <c r="H23" s="503">
        <f>SUM(F23:G23)*E23</f>
        <v>57375</v>
      </c>
    </row>
    <row r="24" spans="1:8" ht="31.5" customHeight="1" thickBot="1" x14ac:dyDescent="0.3">
      <c r="A24" s="817" t="s">
        <v>390</v>
      </c>
      <c r="B24" s="195"/>
      <c r="C24" s="829" t="s">
        <v>298</v>
      </c>
      <c r="D24" s="778" t="s">
        <v>57</v>
      </c>
      <c r="E24" s="778">
        <v>1</v>
      </c>
      <c r="F24" s="496">
        <v>43225</v>
      </c>
      <c r="G24" s="496">
        <v>21612</v>
      </c>
      <c r="H24" s="503">
        <f>SUM(F24:G24)*E24</f>
        <v>64837</v>
      </c>
    </row>
    <row r="25" spans="1:8" ht="35.549999999999997" customHeight="1" thickBot="1" x14ac:dyDescent="0.3">
      <c r="A25" s="1030" t="s">
        <v>123</v>
      </c>
      <c r="B25" s="1031"/>
      <c r="C25" s="1031"/>
      <c r="D25" s="1031"/>
      <c r="E25" s="1031"/>
      <c r="F25" s="1031"/>
      <c r="G25" s="1032"/>
      <c r="H25" s="509">
        <f>SUM(H7:H24)</f>
        <v>2553244</v>
      </c>
    </row>
    <row r="26" spans="1:8" ht="14.4" thickBot="1" x14ac:dyDescent="0.3">
      <c r="A26" s="216" t="s">
        <v>37</v>
      </c>
      <c r="B26" s="1003" t="s">
        <v>1</v>
      </c>
      <c r="C26" s="1013" t="s">
        <v>2</v>
      </c>
      <c r="D26" s="1011" t="s">
        <v>3</v>
      </c>
      <c r="E26" s="1011" t="s">
        <v>4</v>
      </c>
      <c r="F26" s="1015" t="s">
        <v>5</v>
      </c>
      <c r="G26" s="1016"/>
      <c r="H26" s="1011" t="s">
        <v>6</v>
      </c>
    </row>
    <row r="27" spans="1:8" ht="14.4" thickBot="1" x14ac:dyDescent="0.3">
      <c r="A27" s="217" t="s">
        <v>38</v>
      </c>
      <c r="B27" s="1004"/>
      <c r="C27" s="1014"/>
      <c r="D27" s="1012"/>
      <c r="E27" s="1012"/>
      <c r="F27" s="218" t="s">
        <v>7</v>
      </c>
      <c r="G27" s="219" t="s">
        <v>8</v>
      </c>
      <c r="H27" s="1012"/>
    </row>
    <row r="28" spans="1:8" ht="35.549999999999997" customHeight="1" thickBot="1" x14ac:dyDescent="0.3">
      <c r="A28" s="1030" t="s">
        <v>566</v>
      </c>
      <c r="B28" s="1031"/>
      <c r="C28" s="1031"/>
      <c r="D28" s="1031"/>
      <c r="E28" s="1031"/>
      <c r="F28" s="1031"/>
      <c r="G28" s="1032"/>
      <c r="H28" s="509">
        <f>H25</f>
        <v>2553244</v>
      </c>
    </row>
    <row r="29" spans="1:8" x14ac:dyDescent="0.25">
      <c r="A29" s="607"/>
      <c r="B29" s="993"/>
      <c r="C29" s="1028" t="s">
        <v>271</v>
      </c>
      <c r="D29" s="1026" t="s">
        <v>42</v>
      </c>
      <c r="E29" s="1026">
        <v>1</v>
      </c>
      <c r="F29" s="1017">
        <v>24963</v>
      </c>
      <c r="G29" s="1017">
        <v>8900</v>
      </c>
      <c r="H29" s="1017">
        <f>E29*(F29+G29)</f>
        <v>33863</v>
      </c>
    </row>
    <row r="30" spans="1:8" ht="94.2" customHeight="1" thickBot="1" x14ac:dyDescent="0.3">
      <c r="A30" s="830" t="s">
        <v>961</v>
      </c>
      <c r="B30" s="1021"/>
      <c r="C30" s="1029"/>
      <c r="D30" s="1027"/>
      <c r="E30" s="1027"/>
      <c r="F30" s="1018"/>
      <c r="G30" s="1018"/>
      <c r="H30" s="1018"/>
    </row>
    <row r="31" spans="1:8" x14ac:dyDescent="0.25">
      <c r="A31" s="1026" t="s">
        <v>962</v>
      </c>
      <c r="B31" s="993"/>
      <c r="C31" s="1033" t="s">
        <v>1063</v>
      </c>
      <c r="D31" s="1026" t="s">
        <v>528</v>
      </c>
      <c r="E31" s="1026">
        <v>10500</v>
      </c>
      <c r="F31" s="1017">
        <v>15.5</v>
      </c>
      <c r="G31" s="1017">
        <v>5.6</v>
      </c>
      <c r="H31" s="1017">
        <f>E31*(F31+G31)</f>
        <v>221550.00000000003</v>
      </c>
    </row>
    <row r="32" spans="1:8" ht="76.8" customHeight="1" thickBot="1" x14ac:dyDescent="0.3">
      <c r="A32" s="1027"/>
      <c r="B32" s="1021"/>
      <c r="C32" s="1034"/>
      <c r="D32" s="1027"/>
      <c r="E32" s="1027"/>
      <c r="F32" s="1018"/>
      <c r="G32" s="1018"/>
      <c r="H32" s="1018"/>
    </row>
    <row r="33" spans="1:8" ht="31.5" customHeight="1" thickBot="1" x14ac:dyDescent="0.3">
      <c r="A33" s="946" t="s">
        <v>206</v>
      </c>
      <c r="B33" s="947"/>
      <c r="C33" s="947"/>
      <c r="D33" s="947"/>
      <c r="E33" s="947"/>
      <c r="F33" s="947"/>
      <c r="G33" s="831"/>
      <c r="H33" s="864"/>
    </row>
  </sheetData>
  <mergeCells count="58">
    <mergeCell ref="G31:G32"/>
    <mergeCell ref="H31:H32"/>
    <mergeCell ref="A33:F33"/>
    <mergeCell ref="A31:A32"/>
    <mergeCell ref="B31:B32"/>
    <mergeCell ref="C31:C32"/>
    <mergeCell ref="D31:D32"/>
    <mergeCell ref="E31:E32"/>
    <mergeCell ref="F31:F32"/>
    <mergeCell ref="H26:H27"/>
    <mergeCell ref="A28:G28"/>
    <mergeCell ref="B29:B30"/>
    <mergeCell ref="C29:C30"/>
    <mergeCell ref="D29:D30"/>
    <mergeCell ref="E29:E30"/>
    <mergeCell ref="F29:F30"/>
    <mergeCell ref="G29:G30"/>
    <mergeCell ref="H29:H30"/>
    <mergeCell ref="A25:G25"/>
    <mergeCell ref="B26:B27"/>
    <mergeCell ref="C26:C27"/>
    <mergeCell ref="D26:D27"/>
    <mergeCell ref="E26:E27"/>
    <mergeCell ref="F26:G26"/>
    <mergeCell ref="H14:H15"/>
    <mergeCell ref="A21:A22"/>
    <mergeCell ref="B21:B22"/>
    <mergeCell ref="D21:D22"/>
    <mergeCell ref="E21:E22"/>
    <mergeCell ref="F21:F22"/>
    <mergeCell ref="G21:G22"/>
    <mergeCell ref="H21:H22"/>
    <mergeCell ref="A14:A15"/>
    <mergeCell ref="B14:B15"/>
    <mergeCell ref="D14:D15"/>
    <mergeCell ref="E14:E15"/>
    <mergeCell ref="F14:F15"/>
    <mergeCell ref="G14:G15"/>
    <mergeCell ref="H7:H8"/>
    <mergeCell ref="A11:A12"/>
    <mergeCell ref="B11:B12"/>
    <mergeCell ref="D11:D12"/>
    <mergeCell ref="E11:E12"/>
    <mergeCell ref="F11:F12"/>
    <mergeCell ref="G11:G12"/>
    <mergeCell ref="H11:H12"/>
    <mergeCell ref="A7:A8"/>
    <mergeCell ref="C7:C8"/>
    <mergeCell ref="D7:D8"/>
    <mergeCell ref="E7:E8"/>
    <mergeCell ref="F7:F8"/>
    <mergeCell ref="G7:G8"/>
    <mergeCell ref="H2:H3"/>
    <mergeCell ref="B2:B3"/>
    <mergeCell ref="C2:C3"/>
    <mergeCell ref="D2:D3"/>
    <mergeCell ref="E2:E3"/>
    <mergeCell ref="F2:G2"/>
  </mergeCells>
  <pageMargins left="0.70866141732283472" right="0.70866141732283472" top="0.74803149606299213" bottom="0.74803149606299213" header="0.31496062992125984" footer="0.31496062992125984"/>
  <pageSetup paperSize="9" scale="74" fitToHeight="0" orientation="portrait" r:id="rId1"/>
  <rowBreaks count="1" manualBreakCount="1">
    <brk id="25" max="16383"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H33"/>
  <sheetViews>
    <sheetView view="pageBreakPreview" topLeftCell="A15" zoomScaleNormal="100" zoomScaleSheetLayoutView="100" workbookViewId="0">
      <selection activeCell="J28" sqref="J28"/>
    </sheetView>
  </sheetViews>
  <sheetFormatPr defaultColWidth="8.77734375" defaultRowHeight="14.4" x14ac:dyDescent="0.3"/>
  <cols>
    <col min="1" max="1" width="6.109375" style="142" customWidth="1"/>
    <col min="2" max="2" width="8" style="142" customWidth="1"/>
    <col min="3" max="3" width="30" style="142" customWidth="1"/>
    <col min="4" max="4" width="7.88671875" style="142" customWidth="1"/>
    <col min="5" max="5" width="6.6640625" style="142" customWidth="1"/>
    <col min="6" max="7" width="10.88671875" style="142" customWidth="1"/>
    <col min="8" max="8" width="36.33203125" style="142" customWidth="1"/>
    <col min="9" max="16384" width="8.77734375" style="142"/>
  </cols>
  <sheetData>
    <row r="1" spans="1:8" ht="15" thickBot="1" x14ac:dyDescent="0.35"/>
    <row r="2" spans="1:8" ht="15" thickBot="1" x14ac:dyDescent="0.35">
      <c r="A2" s="673" t="s">
        <v>37</v>
      </c>
      <c r="B2" s="1035" t="s">
        <v>1</v>
      </c>
      <c r="C2" s="1053" t="s">
        <v>2</v>
      </c>
      <c r="D2" s="1035" t="s">
        <v>3</v>
      </c>
      <c r="E2" s="1035" t="s">
        <v>4</v>
      </c>
      <c r="F2" s="1037" t="s">
        <v>5</v>
      </c>
      <c r="G2" s="1038"/>
      <c r="H2" s="1035" t="s">
        <v>6</v>
      </c>
    </row>
    <row r="3" spans="1:8" ht="15" thickBot="1" x14ac:dyDescent="0.35">
      <c r="A3" s="674" t="s">
        <v>38</v>
      </c>
      <c r="B3" s="1036"/>
      <c r="C3" s="1054"/>
      <c r="D3" s="1036"/>
      <c r="E3" s="1036"/>
      <c r="F3" s="676" t="s">
        <v>7</v>
      </c>
      <c r="G3" s="677" t="s">
        <v>8</v>
      </c>
      <c r="H3" s="1036"/>
    </row>
    <row r="4" spans="1:8" ht="15" thickBot="1" x14ac:dyDescent="0.35">
      <c r="A4" s="674"/>
      <c r="B4" s="675"/>
      <c r="C4" s="678" t="s">
        <v>119</v>
      </c>
      <c r="D4" s="675"/>
      <c r="E4" s="675"/>
      <c r="F4" s="679"/>
      <c r="G4" s="680"/>
      <c r="H4" s="675"/>
    </row>
    <row r="5" spans="1:8" ht="15" thickBot="1" x14ac:dyDescent="0.35">
      <c r="A5" s="681">
        <v>8</v>
      </c>
      <c r="B5" s="143"/>
      <c r="C5" s="682" t="s">
        <v>227</v>
      </c>
      <c r="D5" s="683"/>
      <c r="E5" s="683"/>
      <c r="F5" s="684"/>
      <c r="G5" s="685"/>
      <c r="H5" s="686"/>
    </row>
    <row r="6" spans="1:8" ht="15" thickBot="1" x14ac:dyDescent="0.35">
      <c r="A6" s="681">
        <v>8.1</v>
      </c>
      <c r="B6" s="660"/>
      <c r="C6" s="687" t="s">
        <v>45</v>
      </c>
      <c r="D6" s="167"/>
      <c r="E6" s="167"/>
      <c r="F6" s="684"/>
      <c r="G6" s="685"/>
      <c r="H6" s="688"/>
    </row>
    <row r="7" spans="1:8" ht="31.5" customHeight="1" x14ac:dyDescent="0.3">
      <c r="A7" s="977" t="s">
        <v>199</v>
      </c>
      <c r="B7" s="166" t="s">
        <v>46</v>
      </c>
      <c r="C7" s="1051" t="s">
        <v>295</v>
      </c>
      <c r="D7" s="977" t="s">
        <v>35</v>
      </c>
      <c r="E7" s="977">
        <v>1575</v>
      </c>
      <c r="F7" s="1039">
        <v>962</v>
      </c>
      <c r="G7" s="1039">
        <v>169</v>
      </c>
      <c r="H7" s="1039">
        <f>SUM(F7:G8)*E7</f>
        <v>1781325</v>
      </c>
    </row>
    <row r="8" spans="1:8" ht="31.5" customHeight="1" thickBot="1" x14ac:dyDescent="0.35">
      <c r="A8" s="978"/>
      <c r="B8" s="660" t="s">
        <v>47</v>
      </c>
      <c r="C8" s="1052"/>
      <c r="D8" s="978"/>
      <c r="E8" s="978"/>
      <c r="F8" s="1040"/>
      <c r="G8" s="1040"/>
      <c r="H8" s="1040"/>
    </row>
    <row r="9" spans="1:8" ht="42" thickBot="1" x14ac:dyDescent="0.35">
      <c r="A9" s="637">
        <v>8.1999999999999993</v>
      </c>
      <c r="B9" s="166"/>
      <c r="C9" s="693" t="s">
        <v>1030</v>
      </c>
      <c r="D9" s="694"/>
      <c r="E9" s="694"/>
      <c r="F9" s="694"/>
      <c r="G9" s="694"/>
      <c r="H9" s="636"/>
    </row>
    <row r="10" spans="1:8" ht="83.4" thickBot="1" x14ac:dyDescent="0.35">
      <c r="A10" s="633" t="s">
        <v>200</v>
      </c>
      <c r="B10" s="166"/>
      <c r="C10" s="695" t="s">
        <v>296</v>
      </c>
      <c r="D10" s="633" t="s">
        <v>36</v>
      </c>
      <c r="E10" s="633">
        <v>18</v>
      </c>
      <c r="F10" s="636">
        <v>6775</v>
      </c>
      <c r="G10" s="636">
        <v>3387</v>
      </c>
      <c r="H10" s="689">
        <f>E10*(F10+G10)</f>
        <v>182916</v>
      </c>
    </row>
    <row r="11" spans="1:8" x14ac:dyDescent="0.3">
      <c r="A11" s="1045">
        <v>8.3000000000000007</v>
      </c>
      <c r="B11" s="1047"/>
      <c r="C11" s="693" t="s">
        <v>49</v>
      </c>
      <c r="D11" s="1041"/>
      <c r="E11" s="1041"/>
      <c r="F11" s="1041"/>
      <c r="G11" s="1041"/>
      <c r="H11" s="1043"/>
    </row>
    <row r="12" spans="1:8" ht="28.2" thickBot="1" x14ac:dyDescent="0.35">
      <c r="A12" s="1046"/>
      <c r="B12" s="1048"/>
      <c r="C12" s="696" t="s">
        <v>226</v>
      </c>
      <c r="D12" s="1042"/>
      <c r="E12" s="1042"/>
      <c r="F12" s="1042"/>
      <c r="G12" s="1042"/>
      <c r="H12" s="1044"/>
    </row>
    <row r="13" spans="1:8" ht="31.5" customHeight="1" thickBot="1" x14ac:dyDescent="0.35">
      <c r="A13" s="697" t="s">
        <v>201</v>
      </c>
      <c r="B13" s="166" t="s">
        <v>52</v>
      </c>
      <c r="C13" s="695" t="s">
        <v>50</v>
      </c>
      <c r="D13" s="690" t="s">
        <v>36</v>
      </c>
      <c r="E13" s="690">
        <v>100</v>
      </c>
      <c r="F13" s="698">
        <v>521</v>
      </c>
      <c r="G13" s="699">
        <v>259</v>
      </c>
      <c r="H13" s="692">
        <f>SUM(F13:G13)*E13</f>
        <v>78000</v>
      </c>
    </row>
    <row r="14" spans="1:8" ht="18.75" customHeight="1" x14ac:dyDescent="0.3">
      <c r="A14" s="1045">
        <v>8.4</v>
      </c>
      <c r="B14" s="1047" t="s">
        <v>52</v>
      </c>
      <c r="C14" s="693" t="s">
        <v>112</v>
      </c>
      <c r="D14" s="1041"/>
      <c r="E14" s="1041"/>
      <c r="F14" s="1041"/>
      <c r="G14" s="1041"/>
      <c r="H14" s="1043"/>
    </row>
    <row r="15" spans="1:8" ht="39.75" customHeight="1" thickBot="1" x14ac:dyDescent="0.35">
      <c r="A15" s="1046"/>
      <c r="B15" s="1048"/>
      <c r="C15" s="696" t="s">
        <v>226</v>
      </c>
      <c r="D15" s="1042"/>
      <c r="E15" s="1042"/>
      <c r="F15" s="1042"/>
      <c r="G15" s="1042"/>
      <c r="H15" s="1044"/>
    </row>
    <row r="16" spans="1:8" ht="31.5" customHeight="1" thickBot="1" x14ac:dyDescent="0.35">
      <c r="A16" s="697" t="s">
        <v>202</v>
      </c>
      <c r="B16" s="166"/>
      <c r="C16" s="695" t="s">
        <v>51</v>
      </c>
      <c r="D16" s="690" t="s">
        <v>13</v>
      </c>
      <c r="E16" s="690">
        <v>1</v>
      </c>
      <c r="F16" s="700">
        <v>196364</v>
      </c>
      <c r="G16" s="701">
        <v>98182</v>
      </c>
      <c r="H16" s="692">
        <f>SUM(F16:G16)*E16</f>
        <v>294546</v>
      </c>
    </row>
    <row r="17" spans="1:8" ht="31.5" customHeight="1" thickBot="1" x14ac:dyDescent="0.35">
      <c r="A17" s="697" t="s">
        <v>203</v>
      </c>
      <c r="B17" s="166" t="s">
        <v>52</v>
      </c>
      <c r="C17" s="695" t="s">
        <v>1029</v>
      </c>
      <c r="D17" s="702" t="s">
        <v>13</v>
      </c>
      <c r="E17" s="702">
        <v>1</v>
      </c>
      <c r="F17" s="698">
        <v>19289</v>
      </c>
      <c r="G17" s="699">
        <v>9860</v>
      </c>
      <c r="H17" s="692">
        <f>SUM(F17:G17)*E17</f>
        <v>29149</v>
      </c>
    </row>
    <row r="18" spans="1:8" ht="15" thickTop="1" x14ac:dyDescent="0.3">
      <c r="A18" s="681">
        <v>8.5</v>
      </c>
      <c r="B18" s="166"/>
      <c r="C18" s="693" t="s">
        <v>122</v>
      </c>
      <c r="D18" s="703"/>
      <c r="E18" s="703"/>
      <c r="F18" s="704"/>
      <c r="G18" s="705"/>
      <c r="H18" s="706"/>
    </row>
    <row r="19" spans="1:8" ht="39.75" customHeight="1" thickBot="1" x14ac:dyDescent="0.35">
      <c r="A19" s="707"/>
      <c r="B19" s="167"/>
      <c r="C19" s="708" t="s">
        <v>226</v>
      </c>
      <c r="D19" s="709"/>
      <c r="E19" s="710"/>
      <c r="F19" s="704"/>
      <c r="G19" s="705"/>
      <c r="H19" s="706"/>
    </row>
    <row r="20" spans="1:8" ht="113.4" customHeight="1" thickTop="1" thickBot="1" x14ac:dyDescent="0.35">
      <c r="A20" s="711" t="s">
        <v>204</v>
      </c>
      <c r="B20" s="660"/>
      <c r="C20" s="696" t="s">
        <v>297</v>
      </c>
      <c r="D20" s="712" t="s">
        <v>36</v>
      </c>
      <c r="E20" s="712">
        <v>66</v>
      </c>
      <c r="F20" s="713">
        <v>6775</v>
      </c>
      <c r="G20" s="714">
        <v>3387</v>
      </c>
      <c r="H20" s="715">
        <f>E20*(F20+G20)</f>
        <v>670692</v>
      </c>
    </row>
    <row r="21" spans="1:8" ht="16.8" customHeight="1" x14ac:dyDescent="0.3">
      <c r="A21" s="1045">
        <v>8.6</v>
      </c>
      <c r="B21" s="1047" t="s">
        <v>53</v>
      </c>
      <c r="C21" s="693" t="s">
        <v>54</v>
      </c>
      <c r="D21" s="1041"/>
      <c r="E21" s="1041"/>
      <c r="F21" s="1041"/>
      <c r="G21" s="1041"/>
      <c r="H21" s="1043"/>
    </row>
    <row r="22" spans="1:8" ht="28.2" thickBot="1" x14ac:dyDescent="0.35">
      <c r="A22" s="1046"/>
      <c r="B22" s="1048"/>
      <c r="C22" s="691" t="s">
        <v>55</v>
      </c>
      <c r="D22" s="1042"/>
      <c r="E22" s="1042"/>
      <c r="F22" s="1042"/>
      <c r="G22" s="1042"/>
      <c r="H22" s="1044"/>
    </row>
    <row r="23" spans="1:8" ht="31.5" customHeight="1" thickBot="1" x14ac:dyDescent="0.35">
      <c r="A23" s="697" t="s">
        <v>205</v>
      </c>
      <c r="B23" s="166"/>
      <c r="C23" s="695" t="s">
        <v>56</v>
      </c>
      <c r="D23" s="690" t="s">
        <v>57</v>
      </c>
      <c r="E23" s="690">
        <v>3</v>
      </c>
      <c r="F23" s="698">
        <v>12750</v>
      </c>
      <c r="G23" s="699">
        <v>6375</v>
      </c>
      <c r="H23" s="692">
        <f>SUM(F23:G23)*E23</f>
        <v>57375</v>
      </c>
    </row>
    <row r="24" spans="1:8" ht="31.5" customHeight="1" thickBot="1" x14ac:dyDescent="0.35">
      <c r="A24" s="697" t="s">
        <v>390</v>
      </c>
      <c r="B24" s="144"/>
      <c r="C24" s="716" t="s">
        <v>298</v>
      </c>
      <c r="D24" s="638" t="s">
        <v>57</v>
      </c>
      <c r="E24" s="638">
        <v>1</v>
      </c>
      <c r="F24" s="640">
        <v>43225</v>
      </c>
      <c r="G24" s="640">
        <v>21612</v>
      </c>
      <c r="H24" s="692">
        <f>SUM(F24:G24)*E24</f>
        <v>64837</v>
      </c>
    </row>
    <row r="25" spans="1:8" ht="35.549999999999997" customHeight="1" thickBot="1" x14ac:dyDescent="0.35">
      <c r="A25" s="1055" t="s">
        <v>123</v>
      </c>
      <c r="B25" s="1056"/>
      <c r="C25" s="1056"/>
      <c r="D25" s="1056"/>
      <c r="E25" s="1056"/>
      <c r="F25" s="1056"/>
      <c r="G25" s="1057"/>
      <c r="H25" s="717">
        <f>SUM(H7:H24)</f>
        <v>3158840</v>
      </c>
    </row>
    <row r="26" spans="1:8" ht="15" thickBot="1" x14ac:dyDescent="0.35">
      <c r="A26" s="718" t="s">
        <v>37</v>
      </c>
      <c r="B26" s="1035" t="s">
        <v>1</v>
      </c>
      <c r="C26" s="1053" t="s">
        <v>2</v>
      </c>
      <c r="D26" s="1035" t="s">
        <v>3</v>
      </c>
      <c r="E26" s="1035" t="s">
        <v>4</v>
      </c>
      <c r="F26" s="1037" t="s">
        <v>5</v>
      </c>
      <c r="G26" s="1038"/>
      <c r="H26" s="1035" t="s">
        <v>6</v>
      </c>
    </row>
    <row r="27" spans="1:8" ht="15" thickBot="1" x14ac:dyDescent="0.35">
      <c r="A27" s="719" t="s">
        <v>38</v>
      </c>
      <c r="B27" s="1036"/>
      <c r="C27" s="1054"/>
      <c r="D27" s="1036"/>
      <c r="E27" s="1036"/>
      <c r="F27" s="676" t="s">
        <v>7</v>
      </c>
      <c r="G27" s="677" t="s">
        <v>8</v>
      </c>
      <c r="H27" s="1036"/>
    </row>
    <row r="28" spans="1:8" ht="35.549999999999997" customHeight="1" thickBot="1" x14ac:dyDescent="0.35">
      <c r="A28" s="1055" t="s">
        <v>566</v>
      </c>
      <c r="B28" s="1056"/>
      <c r="C28" s="1056"/>
      <c r="D28" s="1056"/>
      <c r="E28" s="1056"/>
      <c r="F28" s="1056"/>
      <c r="G28" s="1057"/>
      <c r="H28" s="717">
        <f>H25</f>
        <v>3158840</v>
      </c>
    </row>
    <row r="29" spans="1:8" x14ac:dyDescent="0.3">
      <c r="A29" s="633"/>
      <c r="B29" s="1047"/>
      <c r="C29" s="1051" t="s">
        <v>271</v>
      </c>
      <c r="D29" s="977" t="s">
        <v>42</v>
      </c>
      <c r="E29" s="977">
        <v>1</v>
      </c>
      <c r="F29" s="1039">
        <v>24963</v>
      </c>
      <c r="G29" s="1039">
        <v>8900</v>
      </c>
      <c r="H29" s="1039">
        <f>E29*(F29+G29)</f>
        <v>33863</v>
      </c>
    </row>
    <row r="30" spans="1:8" ht="94.2" customHeight="1" thickBot="1" x14ac:dyDescent="0.35">
      <c r="A30" s="720" t="s">
        <v>961</v>
      </c>
      <c r="B30" s="1048"/>
      <c r="C30" s="1052"/>
      <c r="D30" s="978"/>
      <c r="E30" s="978"/>
      <c r="F30" s="1040"/>
      <c r="G30" s="1040"/>
      <c r="H30" s="1040"/>
    </row>
    <row r="31" spans="1:8" x14ac:dyDescent="0.3">
      <c r="A31" s="977" t="s">
        <v>962</v>
      </c>
      <c r="B31" s="1047"/>
      <c r="C31" s="1049" t="s">
        <v>1031</v>
      </c>
      <c r="D31" s="977" t="s">
        <v>528</v>
      </c>
      <c r="E31" s="977">
        <v>10500</v>
      </c>
      <c r="F31" s="1039">
        <v>15.5</v>
      </c>
      <c r="G31" s="1039">
        <v>5.6</v>
      </c>
      <c r="H31" s="1039">
        <f>E31*(F31+G31)</f>
        <v>221550.00000000003</v>
      </c>
    </row>
    <row r="32" spans="1:8" ht="76.8" customHeight="1" thickBot="1" x14ac:dyDescent="0.35">
      <c r="A32" s="978"/>
      <c r="B32" s="1048"/>
      <c r="C32" s="1050"/>
      <c r="D32" s="978"/>
      <c r="E32" s="978"/>
      <c r="F32" s="1040"/>
      <c r="G32" s="1040"/>
      <c r="H32" s="1040"/>
    </row>
    <row r="33" spans="1:8" ht="31.5" customHeight="1" thickBot="1" x14ac:dyDescent="0.35">
      <c r="A33" s="951" t="s">
        <v>206</v>
      </c>
      <c r="B33" s="952"/>
      <c r="C33" s="952"/>
      <c r="D33" s="952"/>
      <c r="E33" s="952"/>
      <c r="F33" s="952"/>
      <c r="G33" s="721"/>
      <c r="H33" s="722">
        <f>SUM(H28:H32)</f>
        <v>3414253</v>
      </c>
    </row>
  </sheetData>
  <mergeCells count="58">
    <mergeCell ref="C29:C30"/>
    <mergeCell ref="B29:B30"/>
    <mergeCell ref="A11:A12"/>
    <mergeCell ref="B11:B12"/>
    <mergeCell ref="A25:G25"/>
    <mergeCell ref="B26:B27"/>
    <mergeCell ref="C26:C27"/>
    <mergeCell ref="D26:D27"/>
    <mergeCell ref="E26:E27"/>
    <mergeCell ref="D14:D15"/>
    <mergeCell ref="E14:E15"/>
    <mergeCell ref="F14:F15"/>
    <mergeCell ref="G14:G15"/>
    <mergeCell ref="A28:G28"/>
    <mergeCell ref="A14:A15"/>
    <mergeCell ref="B14:B15"/>
    <mergeCell ref="H2:H3"/>
    <mergeCell ref="H7:H8"/>
    <mergeCell ref="A7:A8"/>
    <mergeCell ref="C7:C8"/>
    <mergeCell ref="D7:D8"/>
    <mergeCell ref="E7:E8"/>
    <mergeCell ref="F7:F8"/>
    <mergeCell ref="G7:G8"/>
    <mergeCell ref="B2:B3"/>
    <mergeCell ref="C2:C3"/>
    <mergeCell ref="D2:D3"/>
    <mergeCell ref="E2:E3"/>
    <mergeCell ref="F2:G2"/>
    <mergeCell ref="E29:E30"/>
    <mergeCell ref="D29:D30"/>
    <mergeCell ref="H11:H12"/>
    <mergeCell ref="H14:H15"/>
    <mergeCell ref="A33:F33"/>
    <mergeCell ref="A31:A32"/>
    <mergeCell ref="B31:B32"/>
    <mergeCell ref="C31:C32"/>
    <mergeCell ref="D31:D32"/>
    <mergeCell ref="E31:E32"/>
    <mergeCell ref="F31:F32"/>
    <mergeCell ref="G29:G30"/>
    <mergeCell ref="D11:D12"/>
    <mergeCell ref="E11:E12"/>
    <mergeCell ref="F11:F12"/>
    <mergeCell ref="G11:G12"/>
    <mergeCell ref="F21:F22"/>
    <mergeCell ref="G21:G22"/>
    <mergeCell ref="H21:H22"/>
    <mergeCell ref="A21:A22"/>
    <mergeCell ref="B21:B22"/>
    <mergeCell ref="D21:D22"/>
    <mergeCell ref="E21:E22"/>
    <mergeCell ref="H26:H27"/>
    <mergeCell ref="F26:G26"/>
    <mergeCell ref="H29:H30"/>
    <mergeCell ref="G31:G32"/>
    <mergeCell ref="H31:H32"/>
    <mergeCell ref="F29:F30"/>
  </mergeCells>
  <phoneticPr fontId="46" type="noConversion"/>
  <pageMargins left="0.70866141732283472" right="0.70866141732283472" top="0.74803149606299213" bottom="0.74803149606299213" header="0.31496062992125984" footer="0.31496062992125984"/>
  <pageSetup paperSize="9" scale="74" fitToHeight="0" orientation="portrait" r:id="rId1"/>
  <rowBreaks count="1" manualBreakCount="1">
    <brk id="25"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H15"/>
  <sheetViews>
    <sheetView view="pageBreakPreview" topLeftCell="A13" zoomScale="98" zoomScaleNormal="100" zoomScaleSheetLayoutView="98" workbookViewId="0">
      <selection activeCell="H15" sqref="H15"/>
    </sheetView>
  </sheetViews>
  <sheetFormatPr defaultRowHeight="14.4" x14ac:dyDescent="0.3"/>
  <cols>
    <col min="1" max="1" width="6.109375" customWidth="1"/>
    <col min="2" max="2" width="7.5546875" style="389" customWidth="1"/>
    <col min="3" max="3" width="25.88671875" customWidth="1"/>
    <col min="4" max="4" width="7.109375" customWidth="1"/>
    <col min="5" max="5" width="5" customWidth="1"/>
    <col min="6" max="6" width="13.6640625" customWidth="1"/>
    <col min="7" max="7" width="13.33203125" customWidth="1"/>
    <col min="8" max="8" width="36.33203125" customWidth="1"/>
  </cols>
  <sheetData>
    <row r="1" spans="1:8" ht="15" thickBot="1" x14ac:dyDescent="0.35">
      <c r="A1" s="594"/>
    </row>
    <row r="2" spans="1:8" ht="29.25" customHeight="1" thickBot="1" x14ac:dyDescent="0.35">
      <c r="A2" s="874" t="s">
        <v>0</v>
      </c>
      <c r="B2" s="1059" t="s">
        <v>1</v>
      </c>
      <c r="C2" s="878" t="s">
        <v>2</v>
      </c>
      <c r="D2" s="874" t="s">
        <v>3</v>
      </c>
      <c r="E2" s="874" t="s">
        <v>4</v>
      </c>
      <c r="F2" s="880" t="s">
        <v>5</v>
      </c>
      <c r="G2" s="881"/>
      <c r="H2" s="874" t="s">
        <v>6</v>
      </c>
    </row>
    <row r="3" spans="1:8" ht="15" thickBot="1" x14ac:dyDescent="0.35">
      <c r="A3" s="875"/>
      <c r="B3" s="1060"/>
      <c r="C3" s="879"/>
      <c r="D3" s="875"/>
      <c r="E3" s="875"/>
      <c r="F3" s="18" t="s">
        <v>7</v>
      </c>
      <c r="G3" s="177" t="s">
        <v>8</v>
      </c>
      <c r="H3" s="875"/>
    </row>
    <row r="4" spans="1:8" ht="15" thickBot="1" x14ac:dyDescent="0.35">
      <c r="A4" s="38"/>
      <c r="B4" s="390"/>
      <c r="C4" s="549" t="s">
        <v>120</v>
      </c>
      <c r="D4" s="560"/>
      <c r="E4" s="560"/>
      <c r="F4" s="18"/>
      <c r="G4" s="595"/>
      <c r="H4" s="596"/>
    </row>
    <row r="5" spans="1:8" ht="15" thickBot="1" x14ac:dyDescent="0.35">
      <c r="A5" s="59">
        <v>9</v>
      </c>
      <c r="B5" s="841"/>
      <c r="C5" s="597" t="s">
        <v>86</v>
      </c>
      <c r="D5" s="120"/>
      <c r="E5" s="120"/>
      <c r="F5" s="598"/>
      <c r="G5" s="598"/>
      <c r="H5" s="599"/>
    </row>
    <row r="6" spans="1:8" ht="15" thickBot="1" x14ac:dyDescent="0.35">
      <c r="A6" s="135">
        <v>9.1</v>
      </c>
      <c r="B6" s="609"/>
      <c r="C6" s="600" t="s">
        <v>87</v>
      </c>
      <c r="D6" s="154"/>
      <c r="E6" s="154"/>
      <c r="F6" s="23"/>
      <c r="G6" s="23"/>
      <c r="H6" s="122"/>
    </row>
    <row r="7" spans="1:8" ht="41.4" x14ac:dyDescent="0.3">
      <c r="A7" s="1061" t="s">
        <v>210</v>
      </c>
      <c r="B7" s="1063" t="s">
        <v>272</v>
      </c>
      <c r="C7" s="553" t="s">
        <v>739</v>
      </c>
      <c r="D7" s="1061" t="s">
        <v>13</v>
      </c>
      <c r="E7" s="1064">
        <v>0</v>
      </c>
      <c r="F7" s="1017">
        <v>1527660</v>
      </c>
      <c r="G7" s="1017">
        <f>0.3*F7</f>
        <v>458298</v>
      </c>
      <c r="H7" s="1017">
        <f>E7*(F7+G7)</f>
        <v>0</v>
      </c>
    </row>
    <row r="8" spans="1:8" ht="138.6" thickBot="1" x14ac:dyDescent="0.35">
      <c r="A8" s="1062"/>
      <c r="B8" s="1058"/>
      <c r="C8" s="462" t="s">
        <v>1013</v>
      </c>
      <c r="D8" s="1062"/>
      <c r="E8" s="1065"/>
      <c r="F8" s="1018"/>
      <c r="G8" s="1018"/>
      <c r="H8" s="1058"/>
    </row>
    <row r="9" spans="1:8" ht="49.8" customHeight="1" x14ac:dyDescent="0.3">
      <c r="A9" s="153"/>
      <c r="B9" s="192"/>
      <c r="C9" s="554" t="s">
        <v>740</v>
      </c>
      <c r="D9" s="1061" t="s">
        <v>13</v>
      </c>
      <c r="E9" s="1061">
        <v>1</v>
      </c>
      <c r="F9" s="1017">
        <v>1527660</v>
      </c>
      <c r="G9" s="1017">
        <f>0.3*F9</f>
        <v>458298</v>
      </c>
      <c r="H9" s="1017">
        <f>E9*(F9+G9)</f>
        <v>1985958</v>
      </c>
    </row>
    <row r="10" spans="1:8" ht="138.6" thickBot="1" x14ac:dyDescent="0.35">
      <c r="A10" s="165" t="s">
        <v>211</v>
      </c>
      <c r="B10" s="406"/>
      <c r="C10" s="462" t="s">
        <v>1013</v>
      </c>
      <c r="D10" s="1062"/>
      <c r="E10" s="1062"/>
      <c r="F10" s="1018"/>
      <c r="G10" s="1018"/>
      <c r="H10" s="1058"/>
    </row>
    <row r="11" spans="1:8" ht="31.5" customHeight="1" thickBot="1" x14ac:dyDescent="0.35">
      <c r="A11" s="72" t="s">
        <v>212</v>
      </c>
      <c r="B11" s="192"/>
      <c r="C11" s="75" t="s">
        <v>88</v>
      </c>
      <c r="D11" s="153" t="s">
        <v>36</v>
      </c>
      <c r="E11" s="153">
        <v>38</v>
      </c>
      <c r="F11" s="490">
        <v>3500</v>
      </c>
      <c r="G11" s="490">
        <v>985.5</v>
      </c>
      <c r="H11" s="745">
        <f>E11*(F11+G11)</f>
        <v>170449</v>
      </c>
    </row>
    <row r="12" spans="1:8" ht="31.5" customHeight="1" thickBot="1" x14ac:dyDescent="0.35">
      <c r="A12" s="153" t="s">
        <v>213</v>
      </c>
      <c r="B12" s="192"/>
      <c r="C12" s="75" t="s">
        <v>93</v>
      </c>
      <c r="D12" s="153" t="s">
        <v>42</v>
      </c>
      <c r="E12" s="153">
        <v>1</v>
      </c>
      <c r="F12" s="516">
        <v>8000</v>
      </c>
      <c r="G12" s="516">
        <v>193.5</v>
      </c>
      <c r="H12" s="745">
        <f>E12*(F12+G12)</f>
        <v>8193.5</v>
      </c>
    </row>
    <row r="13" spans="1:8" ht="31.5" customHeight="1" thickBot="1" x14ac:dyDescent="0.35">
      <c r="A13" s="153" t="s">
        <v>968</v>
      </c>
      <c r="B13" s="192" t="s">
        <v>89</v>
      </c>
      <c r="C13" s="75" t="s">
        <v>90</v>
      </c>
      <c r="D13" s="153" t="s">
        <v>37</v>
      </c>
      <c r="E13" s="153">
        <v>1</v>
      </c>
      <c r="F13" s="746">
        <v>9800</v>
      </c>
      <c r="G13" s="746">
        <v>5210</v>
      </c>
      <c r="H13" s="745">
        <f>E13*(F13+G13)</f>
        <v>15010</v>
      </c>
    </row>
    <row r="14" spans="1:8" ht="31.5" customHeight="1" thickBot="1" x14ac:dyDescent="0.35">
      <c r="A14" s="153" t="s">
        <v>969</v>
      </c>
      <c r="B14" s="192" t="s">
        <v>91</v>
      </c>
      <c r="C14" s="75" t="s">
        <v>92</v>
      </c>
      <c r="D14" s="72" t="s">
        <v>42</v>
      </c>
      <c r="E14" s="153">
        <v>1</v>
      </c>
      <c r="F14" s="493">
        <v>3100</v>
      </c>
      <c r="G14" s="516">
        <v>450</v>
      </c>
      <c r="H14" s="492">
        <f>E14*(F14+G14)</f>
        <v>3550</v>
      </c>
    </row>
    <row r="15" spans="1:8" ht="35.549999999999997" customHeight="1" thickBot="1" x14ac:dyDescent="0.35">
      <c r="A15" s="983" t="s">
        <v>557</v>
      </c>
      <c r="B15" s="984"/>
      <c r="C15" s="984"/>
      <c r="D15" s="984"/>
      <c r="E15" s="984"/>
      <c r="F15" s="28"/>
      <c r="G15" s="208"/>
      <c r="H15" s="865"/>
    </row>
  </sheetData>
  <mergeCells count="20">
    <mergeCell ref="A15:E15"/>
    <mergeCell ref="H2:H3"/>
    <mergeCell ref="A7:A8"/>
    <mergeCell ref="B7:B8"/>
    <mergeCell ref="D7:D8"/>
    <mergeCell ref="E7:E8"/>
    <mergeCell ref="D9:D10"/>
    <mergeCell ref="E9:E10"/>
    <mergeCell ref="F9:F10"/>
    <mergeCell ref="A2:A3"/>
    <mergeCell ref="E2:E3"/>
    <mergeCell ref="F2:G2"/>
    <mergeCell ref="C2:C3"/>
    <mergeCell ref="H9:H10"/>
    <mergeCell ref="G9:G10"/>
    <mergeCell ref="B2:B3"/>
    <mergeCell ref="F7:F8"/>
    <mergeCell ref="G7:G8"/>
    <mergeCell ref="H7:H8"/>
    <mergeCell ref="D2:D3"/>
  </mergeCells>
  <phoneticPr fontId="46" type="noConversion"/>
  <pageMargins left="0.7" right="0.7" top="0.75" bottom="0.75" header="0.3" footer="0.3"/>
  <pageSetup paperSize="9" scale="76" fitToHeight="0"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H42"/>
  <sheetViews>
    <sheetView view="pageBreakPreview" topLeftCell="A29" zoomScale="96" zoomScaleNormal="100" zoomScaleSheetLayoutView="96" workbookViewId="0">
      <selection activeCell="R43" sqref="R43"/>
    </sheetView>
  </sheetViews>
  <sheetFormatPr defaultRowHeight="14.4" x14ac:dyDescent="0.3"/>
  <cols>
    <col min="2" max="2" width="16.6640625" customWidth="1"/>
    <col min="3" max="3" width="26.44140625" customWidth="1"/>
    <col min="6" max="7" width="10.5546875" bestFit="1" customWidth="1"/>
    <col min="8" max="8" width="36.33203125" customWidth="1"/>
  </cols>
  <sheetData>
    <row r="1" spans="1:8" ht="15" thickBot="1" x14ac:dyDescent="0.35">
      <c r="A1" s="5"/>
    </row>
    <row r="2" spans="1:8" ht="32.25" customHeight="1" thickBot="1" x14ac:dyDescent="0.35">
      <c r="A2" s="170" t="s">
        <v>37</v>
      </c>
      <c r="B2" s="1067" t="s">
        <v>1</v>
      </c>
      <c r="C2" s="1067" t="s">
        <v>2</v>
      </c>
      <c r="D2" s="1067" t="s">
        <v>3</v>
      </c>
      <c r="E2" s="1067" t="s">
        <v>4</v>
      </c>
      <c r="F2" s="1069" t="s">
        <v>5</v>
      </c>
      <c r="G2" s="1070"/>
      <c r="H2" s="1067" t="s">
        <v>6</v>
      </c>
    </row>
    <row r="3" spans="1:8" ht="15" thickBot="1" x14ac:dyDescent="0.35">
      <c r="A3" s="171" t="s">
        <v>38</v>
      </c>
      <c r="B3" s="1068"/>
      <c r="C3" s="1068"/>
      <c r="D3" s="1068"/>
      <c r="E3" s="1068"/>
      <c r="F3" s="82" t="s">
        <v>7</v>
      </c>
      <c r="G3" s="173" t="s">
        <v>8</v>
      </c>
      <c r="H3" s="1068"/>
    </row>
    <row r="4" spans="1:8" ht="15" thickBot="1" x14ac:dyDescent="0.35">
      <c r="A4" s="38"/>
      <c r="B4" s="38"/>
      <c r="C4" s="549" t="s">
        <v>121</v>
      </c>
      <c r="D4" s="220"/>
      <c r="E4" s="171"/>
      <c r="F4" s="82"/>
      <c r="G4" s="83"/>
      <c r="H4" s="84"/>
    </row>
    <row r="5" spans="1:8" ht="19.5" customHeight="1" thickBot="1" x14ac:dyDescent="0.35">
      <c r="A5" s="385">
        <v>10</v>
      </c>
      <c r="B5" s="85"/>
      <c r="C5" s="431" t="s">
        <v>79</v>
      </c>
      <c r="D5" s="436"/>
      <c r="E5" s="86"/>
      <c r="F5" s="87"/>
      <c r="G5" s="88"/>
      <c r="H5" s="89"/>
    </row>
    <row r="6" spans="1:8" ht="52.8" customHeight="1" thickBot="1" x14ac:dyDescent="0.35">
      <c r="A6" s="384">
        <v>10.1</v>
      </c>
      <c r="B6" s="840" t="s">
        <v>515</v>
      </c>
      <c r="C6" s="432" t="s">
        <v>1014</v>
      </c>
      <c r="D6" s="185"/>
      <c r="E6" s="185"/>
      <c r="F6" s="172"/>
      <c r="G6" s="172"/>
      <c r="H6" s="200"/>
    </row>
    <row r="7" spans="1:8" ht="69.599999999999994" thickBot="1" x14ac:dyDescent="0.35">
      <c r="A7" s="185" t="s">
        <v>667</v>
      </c>
      <c r="B7" s="601"/>
      <c r="C7" s="432" t="s">
        <v>971</v>
      </c>
      <c r="D7" s="153" t="s">
        <v>36</v>
      </c>
      <c r="E7" s="153">
        <f>500/2</f>
        <v>250</v>
      </c>
      <c r="F7" s="499">
        <v>255.4</v>
      </c>
      <c r="G7" s="499">
        <v>95</v>
      </c>
      <c r="H7" s="492">
        <f t="shared" ref="H7:H15" si="0">SUM(F7:G7)*E7</f>
        <v>87600</v>
      </c>
    </row>
    <row r="8" spans="1:8" ht="31.5" customHeight="1" thickBot="1" x14ac:dyDescent="0.35">
      <c r="A8" s="185" t="s">
        <v>668</v>
      </c>
      <c r="B8" s="601"/>
      <c r="C8" s="432" t="s">
        <v>669</v>
      </c>
      <c r="D8" s="185" t="s">
        <v>1015</v>
      </c>
      <c r="E8" s="185">
        <v>13</v>
      </c>
      <c r="F8" s="611">
        <v>131</v>
      </c>
      <c r="G8" s="611">
        <v>50</v>
      </c>
      <c r="H8" s="517">
        <f t="shared" si="0"/>
        <v>2353</v>
      </c>
    </row>
    <row r="9" spans="1:8" ht="15" thickBot="1" x14ac:dyDescent="0.35">
      <c r="A9" s="384">
        <v>10.199999999999999</v>
      </c>
      <c r="B9" s="601"/>
      <c r="C9" s="433" t="s">
        <v>670</v>
      </c>
      <c r="D9" s="185"/>
      <c r="E9" s="185"/>
      <c r="F9" s="611"/>
      <c r="G9" s="611"/>
      <c r="H9" s="517"/>
    </row>
    <row r="10" spans="1:8" ht="31.5" customHeight="1" thickBot="1" x14ac:dyDescent="0.35">
      <c r="A10" s="185" t="s">
        <v>671</v>
      </c>
      <c r="B10" s="601"/>
      <c r="C10" s="432" t="s">
        <v>675</v>
      </c>
      <c r="D10" s="185" t="s">
        <v>673</v>
      </c>
      <c r="E10" s="185">
        <v>1</v>
      </c>
      <c r="F10" s="611">
        <v>15567</v>
      </c>
      <c r="G10" s="611">
        <v>1250</v>
      </c>
      <c r="H10" s="517">
        <f t="shared" si="0"/>
        <v>16817</v>
      </c>
    </row>
    <row r="11" spans="1:8" ht="31.5" customHeight="1" thickBot="1" x14ac:dyDescent="0.35">
      <c r="A11" s="185" t="s">
        <v>672</v>
      </c>
      <c r="B11" s="601"/>
      <c r="C11" s="432" t="s">
        <v>676</v>
      </c>
      <c r="D11" s="185" t="s">
        <v>36</v>
      </c>
      <c r="E11" s="185">
        <f>450/2</f>
        <v>225</v>
      </c>
      <c r="F11" s="611"/>
      <c r="G11" s="611">
        <v>465</v>
      </c>
      <c r="H11" s="517">
        <f t="shared" si="0"/>
        <v>104625</v>
      </c>
    </row>
    <row r="12" spans="1:8" ht="42" thickBot="1" x14ac:dyDescent="0.35">
      <c r="A12" s="185" t="s">
        <v>677</v>
      </c>
      <c r="B12" s="601"/>
      <c r="C12" s="432" t="s">
        <v>674</v>
      </c>
      <c r="D12" s="185" t="s">
        <v>36</v>
      </c>
      <c r="E12" s="185">
        <v>200</v>
      </c>
      <c r="F12" s="611"/>
      <c r="G12" s="611">
        <v>550</v>
      </c>
      <c r="H12" s="517">
        <f t="shared" si="0"/>
        <v>110000</v>
      </c>
    </row>
    <row r="13" spans="1:8" ht="31.5" customHeight="1" thickBot="1" x14ac:dyDescent="0.35">
      <c r="A13" s="185" t="s">
        <v>679</v>
      </c>
      <c r="B13" s="601"/>
      <c r="C13" s="432" t="s">
        <v>678</v>
      </c>
      <c r="D13" s="185" t="s">
        <v>42</v>
      </c>
      <c r="E13" s="185">
        <f>95/2</f>
        <v>47.5</v>
      </c>
      <c r="F13" s="611"/>
      <c r="G13" s="611">
        <v>50</v>
      </c>
      <c r="H13" s="517">
        <f t="shared" si="0"/>
        <v>2375</v>
      </c>
    </row>
    <row r="14" spans="1:8" ht="31.5" customHeight="1" thickBot="1" x14ac:dyDescent="0.35">
      <c r="A14" s="185" t="s">
        <v>680</v>
      </c>
      <c r="B14" s="601"/>
      <c r="C14" s="432" t="s">
        <v>681</v>
      </c>
      <c r="D14" s="185" t="s">
        <v>42</v>
      </c>
      <c r="E14" s="185">
        <v>2</v>
      </c>
      <c r="F14" s="611">
        <v>1281.5</v>
      </c>
      <c r="G14" s="611">
        <v>350</v>
      </c>
      <c r="H14" s="517">
        <f t="shared" si="0"/>
        <v>3263</v>
      </c>
    </row>
    <row r="15" spans="1:8" ht="31.5" customHeight="1" thickBot="1" x14ac:dyDescent="0.35">
      <c r="A15" s="185" t="s">
        <v>682</v>
      </c>
      <c r="B15" s="602"/>
      <c r="C15" s="432" t="s">
        <v>683</v>
      </c>
      <c r="D15" s="185" t="s">
        <v>36</v>
      </c>
      <c r="E15" s="185">
        <v>35</v>
      </c>
      <c r="F15" s="611">
        <v>155.5</v>
      </c>
      <c r="G15" s="611">
        <v>25</v>
      </c>
      <c r="H15" s="517">
        <f t="shared" si="0"/>
        <v>6317.5</v>
      </c>
    </row>
    <row r="16" spans="1:8" ht="15" thickBot="1" x14ac:dyDescent="0.35">
      <c r="A16" s="384">
        <v>10.3</v>
      </c>
      <c r="B16" s="602"/>
      <c r="C16" s="433" t="s">
        <v>684</v>
      </c>
      <c r="D16" s="185"/>
      <c r="E16" s="185"/>
      <c r="F16" s="611"/>
      <c r="G16" s="611"/>
      <c r="H16" s="517">
        <f>SUM(F16:G16)*E16</f>
        <v>0</v>
      </c>
    </row>
    <row r="17" spans="1:8" ht="42" thickBot="1" x14ac:dyDescent="0.35">
      <c r="A17" s="136" t="s">
        <v>685</v>
      </c>
      <c r="B17" s="839" t="s">
        <v>80</v>
      </c>
      <c r="C17" s="434" t="s">
        <v>686</v>
      </c>
      <c r="D17" s="136" t="s">
        <v>1016</v>
      </c>
      <c r="E17" s="136">
        <v>2400</v>
      </c>
      <c r="F17" s="518">
        <v>19.13</v>
      </c>
      <c r="G17" s="518"/>
      <c r="H17" s="518">
        <f>SUM(F17:G17)*E17</f>
        <v>45912</v>
      </c>
    </row>
    <row r="18" spans="1:8" ht="31.5" customHeight="1" thickBot="1" x14ac:dyDescent="0.35">
      <c r="A18" s="136" t="s">
        <v>688</v>
      </c>
      <c r="B18" s="174"/>
      <c r="C18" s="426" t="s">
        <v>687</v>
      </c>
      <c r="D18" s="136" t="s">
        <v>1016</v>
      </c>
      <c r="E18" s="136">
        <v>2400</v>
      </c>
      <c r="F18" s="519">
        <v>19.13</v>
      </c>
      <c r="G18" s="520"/>
      <c r="H18" s="747">
        <f>SUM(F18:G18)*E18</f>
        <v>45912</v>
      </c>
    </row>
    <row r="19" spans="1:8" ht="42" thickBot="1" x14ac:dyDescent="0.35">
      <c r="A19" s="136" t="s">
        <v>690</v>
      </c>
      <c r="B19" s="174"/>
      <c r="C19" s="426" t="s">
        <v>689</v>
      </c>
      <c r="D19" s="72" t="s">
        <v>1017</v>
      </c>
      <c r="E19" s="154">
        <v>240</v>
      </c>
      <c r="F19" s="507">
        <v>762.56</v>
      </c>
      <c r="G19" s="507">
        <v>55</v>
      </c>
      <c r="H19" s="612">
        <f>SUM(F19:G19)*E19</f>
        <v>196214.39999999999</v>
      </c>
    </row>
    <row r="20" spans="1:8" ht="69.599999999999994" thickBot="1" x14ac:dyDescent="0.35">
      <c r="A20" s="384">
        <v>10.4</v>
      </c>
      <c r="B20" s="174"/>
      <c r="C20" s="435" t="s">
        <v>691</v>
      </c>
      <c r="D20" s="154"/>
      <c r="E20" s="154"/>
      <c r="F20" s="490"/>
      <c r="G20" s="491"/>
      <c r="H20" s="612"/>
    </row>
    <row r="21" spans="1:8" ht="31.5" customHeight="1" thickBot="1" x14ac:dyDescent="0.35">
      <c r="A21" s="185" t="s">
        <v>692</v>
      </c>
      <c r="B21" s="174"/>
      <c r="C21" s="463" t="s">
        <v>693</v>
      </c>
      <c r="D21" s="154" t="s">
        <v>42</v>
      </c>
      <c r="E21" s="154">
        <v>6</v>
      </c>
      <c r="F21" s="490">
        <v>350</v>
      </c>
      <c r="G21" s="491">
        <v>55</v>
      </c>
      <c r="H21" s="612">
        <f>SUM(F21:G21)*E21</f>
        <v>2430</v>
      </c>
    </row>
    <row r="22" spans="1:8" ht="31.5" customHeight="1" thickBot="1" x14ac:dyDescent="0.35">
      <c r="A22" s="185" t="s">
        <v>694</v>
      </c>
      <c r="B22" s="174"/>
      <c r="C22" s="427" t="s">
        <v>695</v>
      </c>
      <c r="D22" s="154" t="s">
        <v>42</v>
      </c>
      <c r="E22" s="154">
        <v>70</v>
      </c>
      <c r="F22" s="490">
        <v>950</v>
      </c>
      <c r="G22" s="491">
        <v>55</v>
      </c>
      <c r="H22" s="612">
        <f>SUM(F22:G22)*E22</f>
        <v>70350</v>
      </c>
    </row>
    <row r="23" spans="1:8" ht="31.5" customHeight="1" thickBot="1" x14ac:dyDescent="0.35">
      <c r="A23" s="185" t="s">
        <v>696</v>
      </c>
      <c r="B23" s="174"/>
      <c r="C23" s="427" t="s">
        <v>697</v>
      </c>
      <c r="D23" s="154" t="s">
        <v>42</v>
      </c>
      <c r="E23" s="154">
        <v>2</v>
      </c>
      <c r="F23" s="490">
        <v>350</v>
      </c>
      <c r="G23" s="491">
        <v>55</v>
      </c>
      <c r="H23" s="612">
        <f>SUM(F23:G23)*E23</f>
        <v>810</v>
      </c>
    </row>
    <row r="24" spans="1:8" ht="31.5" customHeight="1" thickBot="1" x14ac:dyDescent="0.35">
      <c r="A24" s="185" t="s">
        <v>698</v>
      </c>
      <c r="B24" s="174"/>
      <c r="C24" s="427" t="s">
        <v>699</v>
      </c>
      <c r="D24" s="154" t="s">
        <v>42</v>
      </c>
      <c r="E24" s="154">
        <v>3</v>
      </c>
      <c r="F24" s="490">
        <v>145</v>
      </c>
      <c r="G24" s="491">
        <v>55</v>
      </c>
      <c r="H24" s="612">
        <f>SUM(F24:G24)*E24</f>
        <v>600</v>
      </c>
    </row>
    <row r="25" spans="1:8" ht="31.5" customHeight="1" thickBot="1" x14ac:dyDescent="0.35">
      <c r="A25" s="185" t="s">
        <v>700</v>
      </c>
      <c r="B25" s="174"/>
      <c r="C25" s="427" t="s">
        <v>701</v>
      </c>
      <c r="D25" s="154" t="s">
        <v>42</v>
      </c>
      <c r="E25" s="154">
        <v>4</v>
      </c>
      <c r="F25" s="490">
        <v>145</v>
      </c>
      <c r="G25" s="491">
        <v>35</v>
      </c>
      <c r="H25" s="612">
        <f>SUM(F25:G25)*E25</f>
        <v>720</v>
      </c>
    </row>
    <row r="26" spans="1:8" ht="35.549999999999997" customHeight="1" thickBot="1" x14ac:dyDescent="0.35">
      <c r="A26" s="930" t="s">
        <v>123</v>
      </c>
      <c r="B26" s="931"/>
      <c r="C26" s="931"/>
      <c r="D26" s="931"/>
      <c r="E26" s="931"/>
      <c r="F26" s="931"/>
      <c r="G26" s="932"/>
      <c r="H26" s="509">
        <f>SUM(H7:H25)</f>
        <v>696298.9</v>
      </c>
    </row>
    <row r="27" spans="1:8" ht="15" thickBot="1" x14ac:dyDescent="0.35">
      <c r="A27" s="106" t="s">
        <v>37</v>
      </c>
      <c r="B27" s="1003" t="s">
        <v>1</v>
      </c>
      <c r="C27" s="1001" t="s">
        <v>2</v>
      </c>
      <c r="D27" s="1003" t="s">
        <v>3</v>
      </c>
      <c r="E27" s="1003" t="s">
        <v>4</v>
      </c>
      <c r="F27" s="1005" t="s">
        <v>5</v>
      </c>
      <c r="G27" s="1007"/>
      <c r="H27" s="1003" t="s">
        <v>6</v>
      </c>
    </row>
    <row r="28" spans="1:8" ht="15" thickBot="1" x14ac:dyDescent="0.35">
      <c r="A28" s="402" t="s">
        <v>38</v>
      </c>
      <c r="B28" s="1004"/>
      <c r="C28" s="1002"/>
      <c r="D28" s="1004"/>
      <c r="E28" s="1004"/>
      <c r="F28" s="67" t="s">
        <v>7</v>
      </c>
      <c r="G28" s="68" t="s">
        <v>8</v>
      </c>
      <c r="H28" s="1004"/>
    </row>
    <row r="29" spans="1:8" ht="35.549999999999997" customHeight="1" thickBot="1" x14ac:dyDescent="0.35">
      <c r="A29" s="930" t="s">
        <v>566</v>
      </c>
      <c r="B29" s="931"/>
      <c r="C29" s="931"/>
      <c r="D29" s="931"/>
      <c r="E29" s="931"/>
      <c r="F29" s="931"/>
      <c r="G29" s="932"/>
      <c r="H29" s="509">
        <f>H26</f>
        <v>696298.9</v>
      </c>
    </row>
    <row r="30" spans="1:8" ht="55.8" thickBot="1" x14ac:dyDescent="0.35">
      <c r="A30" s="185" t="s">
        <v>970</v>
      </c>
      <c r="B30" s="174"/>
      <c r="C30" s="427" t="s">
        <v>702</v>
      </c>
      <c r="D30" s="72" t="s">
        <v>36</v>
      </c>
      <c r="E30" s="154">
        <v>400</v>
      </c>
      <c r="F30" s="490">
        <v>450</v>
      </c>
      <c r="G30" s="491">
        <f>0.3*F30</f>
        <v>135</v>
      </c>
      <c r="H30" s="612">
        <f>SUM(F30:G30)*E30</f>
        <v>234000</v>
      </c>
    </row>
    <row r="31" spans="1:8" ht="31.5" customHeight="1" thickBot="1" x14ac:dyDescent="0.35">
      <c r="A31" s="185" t="s">
        <v>703</v>
      </c>
      <c r="B31" s="174"/>
      <c r="C31" s="427" t="s">
        <v>704</v>
      </c>
      <c r="D31" s="154" t="s">
        <v>36</v>
      </c>
      <c r="E31" s="154">
        <v>250</v>
      </c>
      <c r="F31" s="490">
        <v>2200</v>
      </c>
      <c r="G31" s="491">
        <f>0.3*F31</f>
        <v>660</v>
      </c>
      <c r="H31" s="612">
        <f>SUM(F31:G31)*E31</f>
        <v>715000</v>
      </c>
    </row>
    <row r="32" spans="1:8" ht="31.5" customHeight="1" thickBot="1" x14ac:dyDescent="0.35">
      <c r="A32" s="185" t="s">
        <v>706</v>
      </c>
      <c r="B32" s="174"/>
      <c r="C32" s="427" t="s">
        <v>669</v>
      </c>
      <c r="D32" s="72" t="s">
        <v>1017</v>
      </c>
      <c r="E32" s="154">
        <v>6</v>
      </c>
      <c r="F32" s="490"/>
      <c r="G32" s="491">
        <v>600</v>
      </c>
      <c r="H32" s="612">
        <f>SUM(F32:G32)*E32</f>
        <v>3600</v>
      </c>
    </row>
    <row r="33" spans="1:8" ht="55.8" thickBot="1" x14ac:dyDescent="0.35">
      <c r="A33" s="185" t="s">
        <v>707</v>
      </c>
      <c r="B33" s="428"/>
      <c r="C33" s="429" t="s">
        <v>705</v>
      </c>
      <c r="D33" s="154" t="s">
        <v>36</v>
      </c>
      <c r="E33" s="154">
        <v>250</v>
      </c>
      <c r="F33" s="490">
        <v>300</v>
      </c>
      <c r="G33" s="491">
        <v>350</v>
      </c>
      <c r="H33" s="612">
        <f t="shared" ref="H33:H39" si="1">SUM(F33:G33)*E33</f>
        <v>162500</v>
      </c>
    </row>
    <row r="34" spans="1:8" ht="15" thickBot="1" x14ac:dyDescent="0.35">
      <c r="A34" s="384">
        <v>10.5</v>
      </c>
      <c r="B34" s="174"/>
      <c r="C34" s="430" t="s">
        <v>708</v>
      </c>
      <c r="D34" s="154"/>
      <c r="E34" s="154"/>
      <c r="F34" s="46"/>
      <c r="G34" s="78"/>
      <c r="H34" s="201"/>
    </row>
    <row r="35" spans="1:8" ht="31.5" customHeight="1" thickBot="1" x14ac:dyDescent="0.35">
      <c r="A35" s="185" t="s">
        <v>709</v>
      </c>
      <c r="B35" s="174"/>
      <c r="C35" s="427" t="s">
        <v>710</v>
      </c>
      <c r="D35" s="154" t="s">
        <v>42</v>
      </c>
      <c r="E35" s="154">
        <v>4</v>
      </c>
      <c r="F35" s="490">
        <v>350</v>
      </c>
      <c r="G35" s="491">
        <v>55</v>
      </c>
      <c r="H35" s="612">
        <f t="shared" si="1"/>
        <v>1620</v>
      </c>
    </row>
    <row r="36" spans="1:8" ht="31.5" customHeight="1" thickBot="1" x14ac:dyDescent="0.35">
      <c r="A36" s="185" t="s">
        <v>715</v>
      </c>
      <c r="B36" s="174"/>
      <c r="C36" s="427" t="s">
        <v>711</v>
      </c>
      <c r="D36" s="154" t="s">
        <v>42</v>
      </c>
      <c r="E36" s="154">
        <v>2</v>
      </c>
      <c r="F36" s="490">
        <v>950</v>
      </c>
      <c r="G36" s="491">
        <v>55</v>
      </c>
      <c r="H36" s="612">
        <f t="shared" si="1"/>
        <v>2010</v>
      </c>
    </row>
    <row r="37" spans="1:8" ht="31.5" customHeight="1" thickBot="1" x14ac:dyDescent="0.35">
      <c r="A37" s="185" t="s">
        <v>716</v>
      </c>
      <c r="B37" s="174"/>
      <c r="C37" s="427" t="s">
        <v>712</v>
      </c>
      <c r="D37" s="154" t="s">
        <v>42</v>
      </c>
      <c r="E37" s="154">
        <v>2</v>
      </c>
      <c r="F37" s="490">
        <v>350</v>
      </c>
      <c r="G37" s="491">
        <v>55</v>
      </c>
      <c r="H37" s="612">
        <f t="shared" si="1"/>
        <v>810</v>
      </c>
    </row>
    <row r="38" spans="1:8" ht="31.5" customHeight="1" thickBot="1" x14ac:dyDescent="0.35">
      <c r="A38" s="185" t="s">
        <v>717</v>
      </c>
      <c r="B38" s="174"/>
      <c r="C38" s="427" t="s">
        <v>713</v>
      </c>
      <c r="D38" s="154" t="s">
        <v>42</v>
      </c>
      <c r="E38" s="154">
        <v>2</v>
      </c>
      <c r="F38" s="490">
        <v>145</v>
      </c>
      <c r="G38" s="491">
        <v>35</v>
      </c>
      <c r="H38" s="612">
        <f t="shared" si="1"/>
        <v>360</v>
      </c>
    </row>
    <row r="39" spans="1:8" ht="31.5" customHeight="1" thickBot="1" x14ac:dyDescent="0.35">
      <c r="A39" s="185" t="s">
        <v>718</v>
      </c>
      <c r="B39" s="174"/>
      <c r="C39" s="427" t="s">
        <v>714</v>
      </c>
      <c r="D39" s="154" t="s">
        <v>42</v>
      </c>
      <c r="E39" s="154">
        <v>2</v>
      </c>
      <c r="F39" s="490">
        <v>145</v>
      </c>
      <c r="G39" s="491">
        <v>35</v>
      </c>
      <c r="H39" s="612">
        <f t="shared" si="1"/>
        <v>360</v>
      </c>
    </row>
    <row r="40" spans="1:8" ht="42" thickBot="1" x14ac:dyDescent="0.35">
      <c r="A40" s="185" t="s">
        <v>746</v>
      </c>
      <c r="B40" s="174"/>
      <c r="C40" s="427" t="s">
        <v>889</v>
      </c>
      <c r="D40" s="154" t="s">
        <v>673</v>
      </c>
      <c r="E40" s="154">
        <v>1</v>
      </c>
      <c r="F40" s="521">
        <v>450000</v>
      </c>
      <c r="G40" s="78"/>
      <c r="H40" s="612">
        <v>450000</v>
      </c>
    </row>
    <row r="41" spans="1:8" ht="35.549999999999997" customHeight="1" thickBot="1" x14ac:dyDescent="0.35">
      <c r="A41" s="868" t="s">
        <v>558</v>
      </c>
      <c r="B41" s="869"/>
      <c r="C41" s="869"/>
      <c r="D41" s="869"/>
      <c r="E41" s="869"/>
      <c r="F41" s="869"/>
      <c r="G41" s="870"/>
      <c r="H41" s="865"/>
    </row>
    <row r="42" spans="1:8" x14ac:dyDescent="0.3">
      <c r="G42" s="1066"/>
      <c r="H42" s="1066"/>
    </row>
  </sheetData>
  <mergeCells count="16">
    <mergeCell ref="H2:H3"/>
    <mergeCell ref="B2:B3"/>
    <mergeCell ref="C2:C3"/>
    <mergeCell ref="D2:D3"/>
    <mergeCell ref="E2:E3"/>
    <mergeCell ref="F2:G2"/>
    <mergeCell ref="G42:H42"/>
    <mergeCell ref="A41:G41"/>
    <mergeCell ref="A26:G26"/>
    <mergeCell ref="B27:B28"/>
    <mergeCell ref="C27:C28"/>
    <mergeCell ref="D27:D28"/>
    <mergeCell ref="E27:E28"/>
    <mergeCell ref="F27:G27"/>
    <mergeCell ref="H27:H28"/>
    <mergeCell ref="A29:G29"/>
  </mergeCells>
  <phoneticPr fontId="3" type="noConversion"/>
  <pageMargins left="0.70866141732283472" right="0.70866141732283472" top="0.74803149606299213" bottom="0.74803149606299213" header="0.31496062992125984" footer="0.31496062992125984"/>
  <pageSetup paperSize="9" scale="68" fitToHeight="0" orientation="portrait" r:id="rId1"/>
  <rowBreaks count="1" manualBreakCount="1">
    <brk id="26" max="7"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H21"/>
  <sheetViews>
    <sheetView view="pageBreakPreview" topLeftCell="A16" zoomScaleNormal="100" zoomScaleSheetLayoutView="100" workbookViewId="0">
      <selection activeCell="H21" sqref="H21"/>
    </sheetView>
  </sheetViews>
  <sheetFormatPr defaultRowHeight="14.4" x14ac:dyDescent="0.3"/>
  <cols>
    <col min="2" max="2" width="8.77734375" style="389"/>
    <col min="3" max="3" width="39.44140625" customWidth="1"/>
    <col min="4" max="4" width="10.33203125" customWidth="1"/>
    <col min="5" max="5" width="10.88671875" customWidth="1"/>
    <col min="6" max="6" width="10.6640625" customWidth="1"/>
    <col min="7" max="7" width="9.44140625" bestFit="1" customWidth="1"/>
    <col min="8" max="8" width="36.33203125" customWidth="1"/>
  </cols>
  <sheetData>
    <row r="1" spans="1:8" ht="15" customHeight="1" thickBot="1" x14ac:dyDescent="0.35">
      <c r="A1" s="163" t="s">
        <v>37</v>
      </c>
      <c r="B1" s="1003" t="s">
        <v>1</v>
      </c>
      <c r="C1" s="1001" t="s">
        <v>2</v>
      </c>
      <c r="D1" s="1003" t="s">
        <v>3</v>
      </c>
      <c r="E1" s="1003" t="s">
        <v>4</v>
      </c>
      <c r="F1" s="1005" t="s">
        <v>5</v>
      </c>
      <c r="G1" s="1007"/>
      <c r="H1" s="1003" t="s">
        <v>6</v>
      </c>
    </row>
    <row r="2" spans="1:8" ht="15" thickBot="1" x14ac:dyDescent="0.35">
      <c r="A2" s="60" t="s">
        <v>38</v>
      </c>
      <c r="B2" s="1010"/>
      <c r="C2" s="1002"/>
      <c r="D2" s="1004"/>
      <c r="E2" s="1004"/>
      <c r="F2" s="67" t="s">
        <v>7</v>
      </c>
      <c r="G2" s="68" t="s">
        <v>8</v>
      </c>
      <c r="H2" s="1004"/>
    </row>
    <row r="3" spans="1:8" ht="15" thickBot="1" x14ac:dyDescent="0.35">
      <c r="A3" s="38"/>
      <c r="B3" s="390"/>
      <c r="C3" s="464" t="s">
        <v>391</v>
      </c>
      <c r="D3" s="156"/>
      <c r="E3" s="156"/>
      <c r="F3" s="70"/>
      <c r="G3" s="61"/>
      <c r="H3" s="156"/>
    </row>
    <row r="4" spans="1:8" ht="15" thickBot="1" x14ac:dyDescent="0.35">
      <c r="A4" s="394">
        <v>11</v>
      </c>
      <c r="B4" s="836"/>
      <c r="C4" s="465" t="s">
        <v>39</v>
      </c>
      <c r="D4" s="182"/>
      <c r="E4" s="182"/>
      <c r="F4" s="56"/>
      <c r="G4" s="40"/>
      <c r="H4" s="183"/>
    </row>
    <row r="5" spans="1:8" ht="42" thickBot="1" x14ac:dyDescent="0.35">
      <c r="A5" s="381">
        <v>11.1</v>
      </c>
      <c r="B5" s="194"/>
      <c r="C5" s="466" t="s">
        <v>246</v>
      </c>
      <c r="D5" s="125"/>
      <c r="E5" s="125"/>
      <c r="F5" s="56"/>
      <c r="G5" s="40"/>
      <c r="H5" s="176"/>
    </row>
    <row r="6" spans="1:8" ht="25.8" customHeight="1" x14ac:dyDescent="0.3">
      <c r="A6" s="991" t="s">
        <v>392</v>
      </c>
      <c r="B6" s="1076" t="s">
        <v>247</v>
      </c>
      <c r="C6" s="1074" t="s">
        <v>40</v>
      </c>
      <c r="D6" s="1061" t="s">
        <v>36</v>
      </c>
      <c r="E6" s="1061">
        <v>500</v>
      </c>
      <c r="F6" s="1017">
        <v>197</v>
      </c>
      <c r="G6" s="1017">
        <v>117</v>
      </c>
      <c r="H6" s="1017">
        <f>SUM(F6:G7)*E6</f>
        <v>157000</v>
      </c>
    </row>
    <row r="7" spans="1:8" ht="4.8" customHeight="1" thickBot="1" x14ac:dyDescent="0.35">
      <c r="A7" s="1073"/>
      <c r="B7" s="1077"/>
      <c r="C7" s="1075"/>
      <c r="D7" s="1062"/>
      <c r="E7" s="1062"/>
      <c r="F7" s="1018"/>
      <c r="G7" s="1018"/>
      <c r="H7" s="1018"/>
    </row>
    <row r="8" spans="1:8" ht="42" thickBot="1" x14ac:dyDescent="0.35">
      <c r="A8" s="160" t="s">
        <v>393</v>
      </c>
      <c r="B8" s="188" t="s">
        <v>247</v>
      </c>
      <c r="C8" s="90" t="s">
        <v>248</v>
      </c>
      <c r="D8" s="153" t="s">
        <v>36</v>
      </c>
      <c r="E8" s="153">
        <v>40</v>
      </c>
      <c r="F8" s="499">
        <v>197</v>
      </c>
      <c r="G8" s="499">
        <v>117</v>
      </c>
      <c r="H8" s="496">
        <f>SUM(F8:G9)*E8</f>
        <v>26440</v>
      </c>
    </row>
    <row r="9" spans="1:8" ht="42" thickBot="1" x14ac:dyDescent="0.35">
      <c r="A9" s="160" t="s">
        <v>394</v>
      </c>
      <c r="B9" s="188" t="s">
        <v>247</v>
      </c>
      <c r="C9" s="27" t="s">
        <v>254</v>
      </c>
      <c r="D9" s="72" t="s">
        <v>36</v>
      </c>
      <c r="E9" s="72">
        <v>125</v>
      </c>
      <c r="F9" s="522">
        <v>217</v>
      </c>
      <c r="G9" s="523">
        <v>130</v>
      </c>
      <c r="H9" s="496">
        <f>SUM(F9:G10)*E9</f>
        <v>86750</v>
      </c>
    </row>
    <row r="10" spans="1:8" ht="81" customHeight="1" thickBot="1" x14ac:dyDescent="0.35">
      <c r="A10" s="160" t="s">
        <v>395</v>
      </c>
      <c r="B10" s="188" t="s">
        <v>247</v>
      </c>
      <c r="C10" s="32" t="s">
        <v>251</v>
      </c>
      <c r="D10" s="165" t="s">
        <v>36</v>
      </c>
      <c r="E10" s="165">
        <v>500</v>
      </c>
      <c r="F10" s="524">
        <v>217</v>
      </c>
      <c r="G10" s="525">
        <v>130</v>
      </c>
      <c r="H10" s="503">
        <f>E10*(F10+G10)</f>
        <v>173500</v>
      </c>
    </row>
    <row r="11" spans="1:8" ht="31.5" customHeight="1" thickBot="1" x14ac:dyDescent="0.35">
      <c r="A11" s="160" t="s">
        <v>396</v>
      </c>
      <c r="B11" s="188" t="s">
        <v>247</v>
      </c>
      <c r="C11" s="412" t="s">
        <v>255</v>
      </c>
      <c r="D11" s="72" t="s">
        <v>36</v>
      </c>
      <c r="E11" s="72">
        <v>250</v>
      </c>
      <c r="F11" s="522">
        <v>217</v>
      </c>
      <c r="G11" s="523">
        <v>130</v>
      </c>
      <c r="H11" s="503">
        <f>E11*(F11+G11)</f>
        <v>86750</v>
      </c>
    </row>
    <row r="12" spans="1:8" ht="15.6" thickTop="1" thickBot="1" x14ac:dyDescent="0.35">
      <c r="A12" s="160" t="s">
        <v>397</v>
      </c>
      <c r="B12" s="188" t="s">
        <v>247</v>
      </c>
      <c r="C12" s="115" t="s">
        <v>41</v>
      </c>
      <c r="D12" s="100"/>
      <c r="E12" s="100"/>
      <c r="F12" s="101"/>
      <c r="G12" s="102"/>
      <c r="H12" s="1071"/>
    </row>
    <row r="13" spans="1:8" ht="42" thickBot="1" x14ac:dyDescent="0.35">
      <c r="A13" s="160" t="s">
        <v>398</v>
      </c>
      <c r="B13" s="188" t="s">
        <v>247</v>
      </c>
      <c r="C13" s="29" t="s">
        <v>256</v>
      </c>
      <c r="D13" s="461"/>
      <c r="E13" s="103"/>
      <c r="F13" s="101"/>
      <c r="G13" s="102"/>
      <c r="H13" s="1072"/>
    </row>
    <row r="14" spans="1:8" ht="31.5" customHeight="1" thickBot="1" x14ac:dyDescent="0.35">
      <c r="A14" s="160" t="s">
        <v>399</v>
      </c>
      <c r="B14" s="195" t="s">
        <v>259</v>
      </c>
      <c r="C14" s="412" t="s">
        <v>257</v>
      </c>
      <c r="D14" s="72" t="s">
        <v>42</v>
      </c>
      <c r="E14" s="72">
        <v>140</v>
      </c>
      <c r="F14" s="522">
        <v>125</v>
      </c>
      <c r="G14" s="523">
        <v>54</v>
      </c>
      <c r="H14" s="503">
        <f t="shared" ref="H14:H20" si="0">E14*(F14+G14)</f>
        <v>25060</v>
      </c>
    </row>
    <row r="15" spans="1:8" ht="42" thickBot="1" x14ac:dyDescent="0.35">
      <c r="A15" s="160" t="s">
        <v>400</v>
      </c>
      <c r="B15" s="195" t="s">
        <v>299</v>
      </c>
      <c r="C15" s="122" t="s">
        <v>260</v>
      </c>
      <c r="D15" s="72" t="s">
        <v>42</v>
      </c>
      <c r="E15" s="72">
        <v>136</v>
      </c>
      <c r="F15" s="522">
        <v>125</v>
      </c>
      <c r="G15" s="523">
        <v>55</v>
      </c>
      <c r="H15" s="503">
        <f t="shared" si="0"/>
        <v>24480</v>
      </c>
    </row>
    <row r="16" spans="1:8" ht="28.2" thickBot="1" x14ac:dyDescent="0.35">
      <c r="A16" s="160" t="s">
        <v>401</v>
      </c>
      <c r="B16" s="195" t="s">
        <v>300</v>
      </c>
      <c r="C16" s="122" t="s">
        <v>261</v>
      </c>
      <c r="D16" s="72" t="s">
        <v>42</v>
      </c>
      <c r="E16" s="72">
        <v>90</v>
      </c>
      <c r="F16" s="522">
        <v>125</v>
      </c>
      <c r="G16" s="523">
        <v>56</v>
      </c>
      <c r="H16" s="503">
        <f t="shared" si="0"/>
        <v>16290</v>
      </c>
    </row>
    <row r="17" spans="1:8" ht="28.2" thickBot="1" x14ac:dyDescent="0.35">
      <c r="A17" s="160" t="s">
        <v>402</v>
      </c>
      <c r="B17" s="195" t="s">
        <v>301</v>
      </c>
      <c r="C17" s="122" t="s">
        <v>262</v>
      </c>
      <c r="D17" s="72" t="s">
        <v>42</v>
      </c>
      <c r="E17" s="72">
        <v>124</v>
      </c>
      <c r="F17" s="522">
        <v>155</v>
      </c>
      <c r="G17" s="523">
        <v>55</v>
      </c>
      <c r="H17" s="503">
        <f t="shared" si="0"/>
        <v>26040</v>
      </c>
    </row>
    <row r="18" spans="1:8" ht="55.8" thickBot="1" x14ac:dyDescent="0.35">
      <c r="A18" s="160" t="s">
        <v>403</v>
      </c>
      <c r="B18" s="195" t="s">
        <v>302</v>
      </c>
      <c r="C18" s="122" t="s">
        <v>263</v>
      </c>
      <c r="D18" s="72" t="s">
        <v>42</v>
      </c>
      <c r="E18" s="72">
        <v>12</v>
      </c>
      <c r="F18" s="522">
        <v>956.45</v>
      </c>
      <c r="G18" s="523">
        <v>350</v>
      </c>
      <c r="H18" s="503">
        <f t="shared" si="0"/>
        <v>15677.400000000001</v>
      </c>
    </row>
    <row r="19" spans="1:8" ht="28.2" thickBot="1" x14ac:dyDescent="0.35">
      <c r="A19" s="160" t="s">
        <v>404</v>
      </c>
      <c r="B19" s="195"/>
      <c r="C19" s="122" t="s">
        <v>976</v>
      </c>
      <c r="D19" s="154" t="s">
        <v>37</v>
      </c>
      <c r="E19" s="154">
        <v>1</v>
      </c>
      <c r="F19" s="20">
        <v>250000</v>
      </c>
      <c r="G19" s="21"/>
      <c r="H19" s="503">
        <f t="shared" si="0"/>
        <v>250000</v>
      </c>
    </row>
    <row r="20" spans="1:8" ht="115.2" customHeight="1" thickBot="1" x14ac:dyDescent="0.35">
      <c r="A20" s="160" t="s">
        <v>972</v>
      </c>
      <c r="B20" s="195" t="s">
        <v>303</v>
      </c>
      <c r="C20" s="122" t="s">
        <v>729</v>
      </c>
      <c r="D20" s="154" t="s">
        <v>37</v>
      </c>
      <c r="E20" s="154">
        <v>1</v>
      </c>
      <c r="F20" s="21">
        <v>45000</v>
      </c>
      <c r="G20" s="73"/>
      <c r="H20" s="503">
        <f t="shared" si="0"/>
        <v>45000</v>
      </c>
    </row>
    <row r="21" spans="1:8" ht="35.549999999999997" customHeight="1" thickBot="1" x14ac:dyDescent="0.35">
      <c r="A21" s="868" t="s">
        <v>560</v>
      </c>
      <c r="B21" s="869"/>
      <c r="C21" s="869"/>
      <c r="D21" s="869"/>
      <c r="E21" s="869"/>
      <c r="F21" s="869"/>
      <c r="G21" s="870"/>
      <c r="H21" s="865"/>
    </row>
  </sheetData>
  <mergeCells count="16">
    <mergeCell ref="A21:G21"/>
    <mergeCell ref="H1:H2"/>
    <mergeCell ref="H12:H13"/>
    <mergeCell ref="H6:H7"/>
    <mergeCell ref="A6:A7"/>
    <mergeCell ref="C6:C7"/>
    <mergeCell ref="D6:D7"/>
    <mergeCell ref="E6:E7"/>
    <mergeCell ref="F6:F7"/>
    <mergeCell ref="G6:G7"/>
    <mergeCell ref="B6:B7"/>
    <mergeCell ref="B1:B2"/>
    <mergeCell ref="C1:C2"/>
    <mergeCell ref="D1:D2"/>
    <mergeCell ref="E1:E2"/>
    <mergeCell ref="F1:G1"/>
  </mergeCells>
  <phoneticPr fontId="19" type="noConversion"/>
  <pageMargins left="0.70866141732283472" right="0.70866141732283472" top="0.74803149606299213" bottom="0.74803149606299213" header="0.31496062992125984" footer="0.31496062992125984"/>
  <pageSetup paperSize="9" scale="64" fitToHeight="0"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H48"/>
  <sheetViews>
    <sheetView view="pageBreakPreview" topLeftCell="A37" zoomScaleNormal="100" zoomScaleSheetLayoutView="100" workbookViewId="0">
      <selection activeCell="H48" sqref="H48"/>
    </sheetView>
  </sheetViews>
  <sheetFormatPr defaultRowHeight="14.4" x14ac:dyDescent="0.3"/>
  <cols>
    <col min="3" max="3" width="32.77734375" customWidth="1"/>
    <col min="6" max="6" width="12.5546875" bestFit="1" customWidth="1"/>
    <col min="7" max="7" width="10.33203125" bestFit="1" customWidth="1"/>
    <col min="8" max="8" width="36.33203125" customWidth="1"/>
  </cols>
  <sheetData>
    <row r="1" spans="1:8" ht="15" thickBot="1" x14ac:dyDescent="0.35">
      <c r="A1" s="1003" t="s">
        <v>0</v>
      </c>
      <c r="B1" s="1003" t="s">
        <v>1</v>
      </c>
      <c r="C1" s="1001" t="s">
        <v>2</v>
      </c>
      <c r="D1" s="1003" t="s">
        <v>3</v>
      </c>
      <c r="E1" s="1003" t="s">
        <v>4</v>
      </c>
      <c r="F1" s="1005" t="s">
        <v>5</v>
      </c>
      <c r="G1" s="1007"/>
      <c r="H1" s="1003" t="s">
        <v>6</v>
      </c>
    </row>
    <row r="2" spans="1:8" ht="15" thickBot="1" x14ac:dyDescent="0.35">
      <c r="A2" s="1004"/>
      <c r="B2" s="1004"/>
      <c r="C2" s="1002"/>
      <c r="D2" s="1004"/>
      <c r="E2" s="1004"/>
      <c r="F2" s="67" t="s">
        <v>7</v>
      </c>
      <c r="G2" s="68" t="s">
        <v>8</v>
      </c>
      <c r="H2" s="1004"/>
    </row>
    <row r="3" spans="1:8" ht="15" thickBot="1" x14ac:dyDescent="0.35">
      <c r="A3" s="190"/>
      <c r="B3" s="38"/>
      <c r="C3" s="57" t="s">
        <v>249</v>
      </c>
      <c r="D3" s="156"/>
      <c r="E3" s="156"/>
      <c r="F3" s="70"/>
      <c r="G3" s="61"/>
      <c r="H3" s="156"/>
    </row>
    <row r="4" spans="1:8" ht="42" thickBot="1" x14ac:dyDescent="0.35">
      <c r="A4" s="381">
        <v>12</v>
      </c>
      <c r="B4" s="128"/>
      <c r="C4" s="465" t="s">
        <v>844</v>
      </c>
      <c r="D4" s="182"/>
      <c r="E4" s="182"/>
      <c r="F4" s="56"/>
      <c r="G4" s="40"/>
      <c r="H4" s="183"/>
    </row>
    <row r="5" spans="1:8" ht="231" customHeight="1" thickBot="1" x14ac:dyDescent="0.35">
      <c r="A5" s="381">
        <v>12.1</v>
      </c>
      <c r="B5" s="161"/>
      <c r="C5" s="466" t="s">
        <v>830</v>
      </c>
      <c r="D5" s="125"/>
      <c r="E5" s="125"/>
      <c r="F5" s="56"/>
      <c r="G5" s="40"/>
      <c r="H5" s="176"/>
    </row>
    <row r="6" spans="1:8" ht="28.2" thickBot="1" x14ac:dyDescent="0.35">
      <c r="A6" s="12" t="s">
        <v>250</v>
      </c>
      <c r="B6" s="195" t="s">
        <v>247</v>
      </c>
      <c r="C6" s="27" t="s">
        <v>831</v>
      </c>
      <c r="D6" s="154" t="s">
        <v>42</v>
      </c>
      <c r="E6" s="154">
        <v>2</v>
      </c>
      <c r="F6" s="507">
        <v>452075</v>
      </c>
      <c r="G6" s="504">
        <f>0.3*F6</f>
        <v>135622.5</v>
      </c>
      <c r="H6" s="503">
        <f>E6*(F6+G6)</f>
        <v>1175395</v>
      </c>
    </row>
    <row r="7" spans="1:8" ht="31.5" customHeight="1" thickBot="1" x14ac:dyDescent="0.35">
      <c r="A7" s="12" t="s">
        <v>405</v>
      </c>
      <c r="B7" s="194"/>
      <c r="C7" s="27" t="s">
        <v>832</v>
      </c>
      <c r="D7" s="154" t="s">
        <v>42</v>
      </c>
      <c r="E7" s="154">
        <v>1</v>
      </c>
      <c r="F7" s="507">
        <f>280000*1.3</f>
        <v>364000</v>
      </c>
      <c r="G7" s="496">
        <f>0.3*F7</f>
        <v>109200</v>
      </c>
      <c r="H7" s="503">
        <f t="shared" ref="H7:H47" si="0">E7*(F7+G7)</f>
        <v>473200</v>
      </c>
    </row>
    <row r="8" spans="1:8" ht="31.5" customHeight="1" thickBot="1" x14ac:dyDescent="0.35">
      <c r="A8" s="125" t="s">
        <v>252</v>
      </c>
      <c r="B8" s="195" t="s">
        <v>247</v>
      </c>
      <c r="C8" s="458" t="s">
        <v>307</v>
      </c>
      <c r="D8" s="154" t="s">
        <v>42</v>
      </c>
      <c r="E8" s="154">
        <v>2</v>
      </c>
      <c r="F8" s="507">
        <v>134992.57999999999</v>
      </c>
      <c r="G8" s="504">
        <v>41205.449999999997</v>
      </c>
      <c r="H8" s="503">
        <f t="shared" si="0"/>
        <v>352396.05999999994</v>
      </c>
    </row>
    <row r="9" spans="1:8" ht="31.5" customHeight="1" thickBot="1" x14ac:dyDescent="0.35">
      <c r="A9" s="12" t="s">
        <v>253</v>
      </c>
      <c r="B9" s="188" t="s">
        <v>247</v>
      </c>
      <c r="C9" s="27" t="s">
        <v>836</v>
      </c>
      <c r="D9" s="72" t="s">
        <v>42</v>
      </c>
      <c r="E9" s="72">
        <v>3</v>
      </c>
      <c r="F9" s="522">
        <v>99836.35</v>
      </c>
      <c r="G9" s="753">
        <f t="shared" ref="G9" si="1">0.3*F9</f>
        <v>29950.904999999999</v>
      </c>
      <c r="H9" s="503">
        <f t="shared" si="0"/>
        <v>389361.76500000001</v>
      </c>
    </row>
    <row r="10" spans="1:8" ht="31.5" customHeight="1" thickBot="1" x14ac:dyDescent="0.35">
      <c r="A10" s="12" t="s">
        <v>835</v>
      </c>
      <c r="B10" s="188"/>
      <c r="C10" s="27" t="s">
        <v>837</v>
      </c>
      <c r="D10" s="72" t="s">
        <v>42</v>
      </c>
      <c r="E10" s="72">
        <v>3</v>
      </c>
      <c r="F10" s="522">
        <v>155775.95000000001</v>
      </c>
      <c r="G10" s="753">
        <f t="shared" ref="G10:G17" si="2">0.3*F10</f>
        <v>46732.785000000003</v>
      </c>
      <c r="H10" s="503">
        <f t="shared" ref="H10:H17" si="3">E10*(F10+G10)</f>
        <v>607526.20500000007</v>
      </c>
    </row>
    <row r="11" spans="1:8" ht="31.5" customHeight="1" thickBot="1" x14ac:dyDescent="0.35">
      <c r="A11" s="160" t="s">
        <v>252</v>
      </c>
      <c r="B11" s="188" t="s">
        <v>306</v>
      </c>
      <c r="C11" s="412" t="s">
        <v>838</v>
      </c>
      <c r="D11" s="72" t="s">
        <v>42</v>
      </c>
      <c r="E11" s="72">
        <v>1</v>
      </c>
      <c r="F11" s="522">
        <v>349041.8</v>
      </c>
      <c r="G11" s="753">
        <f t="shared" si="2"/>
        <v>104712.54</v>
      </c>
      <c r="H11" s="503">
        <f t="shared" si="3"/>
        <v>453754.33999999997</v>
      </c>
    </row>
    <row r="12" spans="1:8" ht="42" thickBot="1" x14ac:dyDescent="0.35">
      <c r="A12" s="160" t="s">
        <v>253</v>
      </c>
      <c r="B12" s="160"/>
      <c r="C12" s="90" t="s">
        <v>839</v>
      </c>
      <c r="D12" s="72" t="s">
        <v>37</v>
      </c>
      <c r="E12" s="154">
        <v>1</v>
      </c>
      <c r="F12" s="507">
        <v>200000</v>
      </c>
      <c r="G12" s="753">
        <f t="shared" si="2"/>
        <v>60000</v>
      </c>
      <c r="H12" s="503">
        <f t="shared" si="3"/>
        <v>260000</v>
      </c>
    </row>
    <row r="13" spans="1:8" ht="42" thickBot="1" x14ac:dyDescent="0.35">
      <c r="A13" s="160" t="s">
        <v>835</v>
      </c>
      <c r="B13" s="160"/>
      <c r="C13" s="90" t="s">
        <v>842</v>
      </c>
      <c r="D13" s="72" t="s">
        <v>37</v>
      </c>
      <c r="E13" s="154">
        <v>1</v>
      </c>
      <c r="F13" s="507">
        <v>200000</v>
      </c>
      <c r="G13" s="753">
        <f t="shared" si="2"/>
        <v>60000</v>
      </c>
      <c r="H13" s="503">
        <f t="shared" si="3"/>
        <v>260000</v>
      </c>
    </row>
    <row r="14" spans="1:8" ht="42" thickBot="1" x14ac:dyDescent="0.35">
      <c r="A14" s="160" t="s">
        <v>840</v>
      </c>
      <c r="B14" s="160"/>
      <c r="C14" s="90" t="s">
        <v>841</v>
      </c>
      <c r="D14" s="72" t="s">
        <v>37</v>
      </c>
      <c r="E14" s="154">
        <v>1</v>
      </c>
      <c r="F14" s="507">
        <v>200000</v>
      </c>
      <c r="G14" s="753">
        <f t="shared" si="2"/>
        <v>60000</v>
      </c>
      <c r="H14" s="503">
        <f t="shared" si="3"/>
        <v>260000</v>
      </c>
    </row>
    <row r="15" spans="1:8" ht="42" thickBot="1" x14ac:dyDescent="0.35">
      <c r="A15" s="160" t="s">
        <v>843</v>
      </c>
      <c r="B15" s="160"/>
      <c r="C15" s="90" t="s">
        <v>891</v>
      </c>
      <c r="D15" s="72" t="s">
        <v>37</v>
      </c>
      <c r="E15" s="154">
        <v>1</v>
      </c>
      <c r="F15" s="507">
        <v>200000</v>
      </c>
      <c r="G15" s="753">
        <f t="shared" si="2"/>
        <v>60000</v>
      </c>
      <c r="H15" s="503">
        <f t="shared" si="3"/>
        <v>260000</v>
      </c>
    </row>
    <row r="16" spans="1:8" ht="31.5" customHeight="1" thickBot="1" x14ac:dyDescent="0.35">
      <c r="A16" s="160" t="s">
        <v>845</v>
      </c>
      <c r="B16" s="160"/>
      <c r="C16" s="90" t="s">
        <v>846</v>
      </c>
      <c r="D16" s="72" t="s">
        <v>258</v>
      </c>
      <c r="E16" s="154">
        <v>2</v>
      </c>
      <c r="F16" s="507">
        <v>80000</v>
      </c>
      <c r="G16" s="753">
        <f t="shared" si="2"/>
        <v>24000</v>
      </c>
      <c r="H16" s="503">
        <f t="shared" si="3"/>
        <v>208000</v>
      </c>
    </row>
    <row r="17" spans="1:8" ht="31.5" customHeight="1" thickBot="1" x14ac:dyDescent="0.35">
      <c r="A17" s="160" t="s">
        <v>847</v>
      </c>
      <c r="B17" s="160"/>
      <c r="C17" s="90" t="s">
        <v>848</v>
      </c>
      <c r="D17" s="154" t="s">
        <v>258</v>
      </c>
      <c r="E17" s="154">
        <v>6</v>
      </c>
      <c r="F17" s="507">
        <v>80000</v>
      </c>
      <c r="G17" s="753">
        <f t="shared" si="2"/>
        <v>24000</v>
      </c>
      <c r="H17" s="503">
        <f t="shared" si="3"/>
        <v>624000</v>
      </c>
    </row>
    <row r="18" spans="1:8" ht="35.549999999999997" customHeight="1" thickBot="1" x14ac:dyDescent="0.35">
      <c r="A18" s="930" t="s">
        <v>123</v>
      </c>
      <c r="B18" s="931"/>
      <c r="C18" s="931"/>
      <c r="D18" s="931"/>
      <c r="E18" s="931"/>
      <c r="F18" s="931"/>
      <c r="G18" s="932"/>
      <c r="H18" s="509">
        <f>SUM(H6:H17)</f>
        <v>5323633.37</v>
      </c>
    </row>
    <row r="19" spans="1:8" ht="15" thickBot="1" x14ac:dyDescent="0.35">
      <c r="A19" s="106" t="s">
        <v>37</v>
      </c>
      <c r="B19" s="1003" t="s">
        <v>1</v>
      </c>
      <c r="C19" s="1001" t="s">
        <v>2</v>
      </c>
      <c r="D19" s="1003" t="s">
        <v>3</v>
      </c>
      <c r="E19" s="1003" t="s">
        <v>4</v>
      </c>
      <c r="F19" s="1005" t="s">
        <v>5</v>
      </c>
      <c r="G19" s="1007"/>
      <c r="H19" s="1003" t="s">
        <v>6</v>
      </c>
    </row>
    <row r="20" spans="1:8" ht="15" thickBot="1" x14ac:dyDescent="0.35">
      <c r="A20" s="402" t="s">
        <v>38</v>
      </c>
      <c r="B20" s="1004"/>
      <c r="C20" s="1002"/>
      <c r="D20" s="1004"/>
      <c r="E20" s="1004"/>
      <c r="F20" s="67" t="s">
        <v>7</v>
      </c>
      <c r="G20" s="68" t="s">
        <v>8</v>
      </c>
      <c r="H20" s="1004"/>
    </row>
    <row r="21" spans="1:8" ht="22.8" customHeight="1" thickBot="1" x14ac:dyDescent="0.35">
      <c r="A21" s="930" t="s">
        <v>566</v>
      </c>
      <c r="B21" s="931"/>
      <c r="C21" s="931"/>
      <c r="D21" s="931"/>
      <c r="E21" s="931"/>
      <c r="F21" s="931"/>
      <c r="G21" s="932"/>
      <c r="H21" s="509">
        <f>H18</f>
        <v>5323633.37</v>
      </c>
    </row>
    <row r="22" spans="1:8" ht="31.5" customHeight="1" thickBot="1" x14ac:dyDescent="0.35">
      <c r="A22" s="160" t="s">
        <v>849</v>
      </c>
      <c r="B22" s="160"/>
      <c r="C22" s="90" t="s">
        <v>850</v>
      </c>
      <c r="D22" s="72" t="s">
        <v>42</v>
      </c>
      <c r="E22" s="154">
        <v>4</v>
      </c>
      <c r="F22" s="507">
        <v>80000</v>
      </c>
      <c r="G22" s="753">
        <f t="shared" ref="G22:G45" si="4">0.3*F22</f>
        <v>24000</v>
      </c>
      <c r="H22" s="503">
        <f t="shared" si="0"/>
        <v>416000</v>
      </c>
    </row>
    <row r="23" spans="1:8" ht="31.5" customHeight="1" thickBot="1" x14ac:dyDescent="0.35">
      <c r="A23" s="160" t="s">
        <v>851</v>
      </c>
      <c r="B23" s="160"/>
      <c r="C23" s="90" t="s">
        <v>852</v>
      </c>
      <c r="D23" s="154" t="s">
        <v>42</v>
      </c>
      <c r="E23" s="154">
        <v>2</v>
      </c>
      <c r="F23" s="507">
        <v>80000</v>
      </c>
      <c r="G23" s="753">
        <f t="shared" si="4"/>
        <v>24000</v>
      </c>
      <c r="H23" s="503">
        <f t="shared" si="0"/>
        <v>208000</v>
      </c>
    </row>
    <row r="24" spans="1:8" ht="27" customHeight="1" thickBot="1" x14ac:dyDescent="0.35">
      <c r="A24" s="160" t="s">
        <v>853</v>
      </c>
      <c r="B24" s="160"/>
      <c r="C24" s="90" t="s">
        <v>854</v>
      </c>
      <c r="D24" s="154" t="s">
        <v>42</v>
      </c>
      <c r="E24" s="154">
        <v>4</v>
      </c>
      <c r="F24" s="507">
        <v>80000</v>
      </c>
      <c r="G24" s="753">
        <f t="shared" si="4"/>
        <v>24000</v>
      </c>
      <c r="H24" s="503">
        <f t="shared" si="0"/>
        <v>416000</v>
      </c>
    </row>
    <row r="25" spans="1:8" ht="69.599999999999994" thickBot="1" x14ac:dyDescent="0.35">
      <c r="A25" s="160" t="s">
        <v>855</v>
      </c>
      <c r="B25" s="160"/>
      <c r="C25" s="410" t="s">
        <v>856</v>
      </c>
      <c r="D25" s="154" t="s">
        <v>42</v>
      </c>
      <c r="E25" s="154">
        <v>2</v>
      </c>
      <c r="F25" s="507">
        <v>208000</v>
      </c>
      <c r="G25" s="753">
        <f t="shared" si="4"/>
        <v>62400</v>
      </c>
      <c r="H25" s="503">
        <f>E25*(F25+G25)</f>
        <v>540800</v>
      </c>
    </row>
    <row r="26" spans="1:8" ht="42" thickBot="1" x14ac:dyDescent="0.35">
      <c r="A26" s="160" t="s">
        <v>857</v>
      </c>
      <c r="B26" s="160"/>
      <c r="C26" s="90" t="s">
        <v>858</v>
      </c>
      <c r="D26" s="154" t="s">
        <v>42</v>
      </c>
      <c r="E26" s="154">
        <v>1</v>
      </c>
      <c r="F26" s="507">
        <v>104000</v>
      </c>
      <c r="G26" s="753">
        <f t="shared" si="4"/>
        <v>31200</v>
      </c>
      <c r="H26" s="503">
        <f t="shared" si="0"/>
        <v>135200</v>
      </c>
    </row>
    <row r="27" spans="1:8" ht="42" thickBot="1" x14ac:dyDescent="0.35">
      <c r="A27" s="160" t="s">
        <v>859</v>
      </c>
      <c r="B27" s="160"/>
      <c r="C27" s="90" t="s">
        <v>858</v>
      </c>
      <c r="D27" s="154" t="s">
        <v>42</v>
      </c>
      <c r="E27" s="154">
        <v>1</v>
      </c>
      <c r="F27" s="507">
        <v>104000</v>
      </c>
      <c r="G27" s="753">
        <f>0.3*F27</f>
        <v>31200</v>
      </c>
      <c r="H27" s="503">
        <f>E27*(F27+G27)</f>
        <v>135200</v>
      </c>
    </row>
    <row r="28" spans="1:8" ht="28.2" thickBot="1" x14ac:dyDescent="0.35">
      <c r="A28" s="160" t="s">
        <v>860</v>
      </c>
      <c r="B28" s="160"/>
      <c r="C28" s="90" t="s">
        <v>1010</v>
      </c>
      <c r="D28" s="154" t="s">
        <v>42</v>
      </c>
      <c r="E28" s="154">
        <v>1</v>
      </c>
      <c r="F28" s="507">
        <v>104000</v>
      </c>
      <c r="G28" s="753">
        <f t="shared" ref="G28" si="5">0.3*F28</f>
        <v>31200</v>
      </c>
      <c r="H28" s="503">
        <f t="shared" ref="H28" si="6">E28*(F28+G28)</f>
        <v>135200</v>
      </c>
    </row>
    <row r="29" spans="1:8" ht="28.2" thickBot="1" x14ac:dyDescent="0.35">
      <c r="A29" s="160" t="s">
        <v>861</v>
      </c>
      <c r="B29" s="160"/>
      <c r="C29" s="90" t="s">
        <v>1010</v>
      </c>
      <c r="D29" s="154" t="s">
        <v>42</v>
      </c>
      <c r="E29" s="154">
        <v>1</v>
      </c>
      <c r="F29" s="507">
        <v>104000</v>
      </c>
      <c r="G29" s="753">
        <f t="shared" ref="G29:G35" si="7">0.3*F29</f>
        <v>31200</v>
      </c>
      <c r="H29" s="503">
        <f t="shared" ref="H29:H35" si="8">E29*(F29+G29)</f>
        <v>135200</v>
      </c>
    </row>
    <row r="30" spans="1:8" ht="15" thickBot="1" x14ac:dyDescent="0.35">
      <c r="A30" s="160" t="s">
        <v>862</v>
      </c>
      <c r="B30" s="160"/>
      <c r="C30" s="90" t="s">
        <v>863</v>
      </c>
      <c r="D30" s="154" t="s">
        <v>42</v>
      </c>
      <c r="E30" s="154">
        <v>2</v>
      </c>
      <c r="F30" s="507">
        <v>6682.3</v>
      </c>
      <c r="G30" s="753">
        <f t="shared" si="7"/>
        <v>2004.69</v>
      </c>
      <c r="H30" s="503">
        <f t="shared" si="8"/>
        <v>17373.98</v>
      </c>
    </row>
    <row r="31" spans="1:8" ht="15" thickBot="1" x14ac:dyDescent="0.35">
      <c r="A31" s="160" t="s">
        <v>864</v>
      </c>
      <c r="B31" s="160"/>
      <c r="C31" s="90" t="s">
        <v>866</v>
      </c>
      <c r="D31" s="154" t="s">
        <v>42</v>
      </c>
      <c r="E31" s="154">
        <v>2</v>
      </c>
      <c r="F31" s="507">
        <v>5359.05</v>
      </c>
      <c r="G31" s="753">
        <f t="shared" si="7"/>
        <v>1607.7149999999999</v>
      </c>
      <c r="H31" s="503">
        <f t="shared" si="8"/>
        <v>13933.53</v>
      </c>
    </row>
    <row r="32" spans="1:8" ht="31.5" customHeight="1" thickBot="1" x14ac:dyDescent="0.35">
      <c r="A32" s="160" t="s">
        <v>865</v>
      </c>
      <c r="B32" s="160"/>
      <c r="C32" s="90" t="s">
        <v>867</v>
      </c>
      <c r="D32" s="154" t="s">
        <v>42</v>
      </c>
      <c r="E32" s="154">
        <v>2</v>
      </c>
      <c r="F32" s="507">
        <v>2054.9699999999998</v>
      </c>
      <c r="G32" s="753">
        <f t="shared" si="7"/>
        <v>616.49099999999987</v>
      </c>
      <c r="H32" s="503">
        <f t="shared" si="8"/>
        <v>5342.9219999999996</v>
      </c>
    </row>
    <row r="33" spans="1:8" ht="31.5" customHeight="1" thickBot="1" x14ac:dyDescent="0.35">
      <c r="A33" s="160" t="s">
        <v>868</v>
      </c>
      <c r="B33" s="160"/>
      <c r="C33" s="90" t="s">
        <v>869</v>
      </c>
      <c r="D33" s="154" t="s">
        <v>42</v>
      </c>
      <c r="E33" s="154">
        <v>6</v>
      </c>
      <c r="F33" s="507">
        <v>7072.09</v>
      </c>
      <c r="G33" s="753">
        <f t="shared" si="7"/>
        <v>2121.627</v>
      </c>
      <c r="H33" s="503">
        <f t="shared" si="8"/>
        <v>55162.302000000003</v>
      </c>
    </row>
    <row r="34" spans="1:8" ht="26.4" customHeight="1" thickBot="1" x14ac:dyDescent="0.35">
      <c r="A34" s="160" t="s">
        <v>870</v>
      </c>
      <c r="B34" s="160"/>
      <c r="C34" s="90" t="s">
        <v>871</v>
      </c>
      <c r="D34" s="154" t="s">
        <v>42</v>
      </c>
      <c r="E34" s="154">
        <v>6</v>
      </c>
      <c r="F34" s="507">
        <v>6065.29</v>
      </c>
      <c r="G34" s="753">
        <f t="shared" si="7"/>
        <v>1819.587</v>
      </c>
      <c r="H34" s="503">
        <f t="shared" si="8"/>
        <v>47309.262000000002</v>
      </c>
    </row>
    <row r="35" spans="1:8" ht="25.2" customHeight="1" thickBot="1" x14ac:dyDescent="0.35">
      <c r="A35" s="160" t="s">
        <v>872</v>
      </c>
      <c r="B35" s="160"/>
      <c r="C35" s="90" t="s">
        <v>873</v>
      </c>
      <c r="D35" s="154" t="s">
        <v>42</v>
      </c>
      <c r="E35" s="154">
        <v>14</v>
      </c>
      <c r="F35" s="507">
        <v>6065.29</v>
      </c>
      <c r="G35" s="753">
        <f t="shared" si="7"/>
        <v>1819.587</v>
      </c>
      <c r="H35" s="503">
        <f t="shared" si="8"/>
        <v>110388.27800000001</v>
      </c>
    </row>
    <row r="36" spans="1:8" ht="124.8" thickBot="1" x14ac:dyDescent="0.35">
      <c r="A36" s="160" t="s">
        <v>874</v>
      </c>
      <c r="B36" s="160"/>
      <c r="C36" s="90" t="s">
        <v>892</v>
      </c>
      <c r="D36" s="154" t="s">
        <v>42</v>
      </c>
      <c r="E36" s="154">
        <v>2</v>
      </c>
      <c r="F36" s="507">
        <v>15000</v>
      </c>
      <c r="G36" s="753">
        <f t="shared" ref="G36" si="9">0.3*F36</f>
        <v>4500</v>
      </c>
      <c r="H36" s="503">
        <f t="shared" ref="H36" si="10">E36*(F36+G36)</f>
        <v>39000</v>
      </c>
    </row>
    <row r="37" spans="1:8" ht="35.549999999999997" customHeight="1" thickBot="1" x14ac:dyDescent="0.35">
      <c r="A37" s="930" t="s">
        <v>123</v>
      </c>
      <c r="B37" s="931"/>
      <c r="C37" s="931"/>
      <c r="D37" s="931"/>
      <c r="E37" s="931"/>
      <c r="F37" s="931"/>
      <c r="G37" s="932"/>
      <c r="H37" s="509">
        <f>SUM(H21:H36)</f>
        <v>7733743.6440000013</v>
      </c>
    </row>
    <row r="38" spans="1:8" ht="15" thickBot="1" x14ac:dyDescent="0.35">
      <c r="A38" s="106" t="s">
        <v>37</v>
      </c>
      <c r="B38" s="1003" t="s">
        <v>1</v>
      </c>
      <c r="C38" s="1001" t="s">
        <v>2</v>
      </c>
      <c r="D38" s="1003" t="s">
        <v>3</v>
      </c>
      <c r="E38" s="1003" t="s">
        <v>4</v>
      </c>
      <c r="F38" s="1005" t="s">
        <v>5</v>
      </c>
      <c r="G38" s="1007"/>
      <c r="H38" s="1003" t="s">
        <v>6</v>
      </c>
    </row>
    <row r="39" spans="1:8" ht="15" thickBot="1" x14ac:dyDescent="0.35">
      <c r="A39" s="402" t="s">
        <v>38</v>
      </c>
      <c r="B39" s="1004"/>
      <c r="C39" s="1002"/>
      <c r="D39" s="1004"/>
      <c r="E39" s="1004"/>
      <c r="F39" s="67" t="s">
        <v>7</v>
      </c>
      <c r="G39" s="68" t="s">
        <v>8</v>
      </c>
      <c r="H39" s="1004"/>
    </row>
    <row r="40" spans="1:8" ht="35.549999999999997" customHeight="1" thickBot="1" x14ac:dyDescent="0.35">
      <c r="A40" s="930" t="s">
        <v>566</v>
      </c>
      <c r="B40" s="931"/>
      <c r="C40" s="931"/>
      <c r="D40" s="931"/>
      <c r="E40" s="931"/>
      <c r="F40" s="931"/>
      <c r="G40" s="932"/>
      <c r="H40" s="509">
        <f>H37</f>
        <v>7733743.6440000013</v>
      </c>
    </row>
    <row r="41" spans="1:8" ht="28.2" thickBot="1" x14ac:dyDescent="0.35">
      <c r="A41" s="160" t="s">
        <v>875</v>
      </c>
      <c r="B41" s="160"/>
      <c r="C41" s="90" t="s">
        <v>893</v>
      </c>
      <c r="D41" s="154"/>
      <c r="E41" s="154"/>
      <c r="F41" s="20"/>
      <c r="G41" s="405"/>
      <c r="H41" s="152"/>
    </row>
    <row r="42" spans="1:8" ht="83.4" thickBot="1" x14ac:dyDescent="0.35">
      <c r="A42" s="160" t="s">
        <v>894</v>
      </c>
      <c r="B42" s="160"/>
      <c r="C42" s="90" t="s">
        <v>1011</v>
      </c>
      <c r="D42" s="154" t="s">
        <v>37</v>
      </c>
      <c r="E42" s="154">
        <v>1</v>
      </c>
      <c r="F42" s="20">
        <v>100000</v>
      </c>
      <c r="G42" s="753"/>
      <c r="H42" s="503">
        <f t="shared" si="0"/>
        <v>100000</v>
      </c>
    </row>
    <row r="43" spans="1:8" ht="28.2" thickBot="1" x14ac:dyDescent="0.35">
      <c r="A43" s="160" t="s">
        <v>877</v>
      </c>
      <c r="B43" s="160"/>
      <c r="C43" s="90" t="s">
        <v>895</v>
      </c>
      <c r="D43" s="154" t="s">
        <v>37</v>
      </c>
      <c r="E43" s="154">
        <v>1</v>
      </c>
      <c r="F43" s="507">
        <v>20000</v>
      </c>
      <c r="G43" s="753"/>
      <c r="H43" s="503">
        <f t="shared" si="0"/>
        <v>20000</v>
      </c>
    </row>
    <row r="44" spans="1:8" ht="31.5" customHeight="1" thickBot="1" x14ac:dyDescent="0.35">
      <c r="A44" s="160" t="s">
        <v>879</v>
      </c>
      <c r="B44" s="160"/>
      <c r="C44" s="90" t="s">
        <v>876</v>
      </c>
      <c r="D44" s="154" t="s">
        <v>42</v>
      </c>
      <c r="E44" s="154">
        <v>1</v>
      </c>
      <c r="F44" s="507">
        <v>10000</v>
      </c>
      <c r="G44" s="753">
        <f t="shared" si="4"/>
        <v>3000</v>
      </c>
      <c r="H44" s="503">
        <f t="shared" si="0"/>
        <v>13000</v>
      </c>
    </row>
    <row r="45" spans="1:8" ht="31.5" customHeight="1" thickBot="1" x14ac:dyDescent="0.35">
      <c r="A45" s="160" t="s">
        <v>929</v>
      </c>
      <c r="B45" s="160"/>
      <c r="C45" s="90" t="s">
        <v>878</v>
      </c>
      <c r="D45" s="154" t="s">
        <v>42</v>
      </c>
      <c r="E45" s="154">
        <v>2</v>
      </c>
      <c r="F45" s="20">
        <v>1000</v>
      </c>
      <c r="G45" s="753">
        <f t="shared" si="4"/>
        <v>300</v>
      </c>
      <c r="H45" s="503">
        <f t="shared" si="0"/>
        <v>2600</v>
      </c>
    </row>
    <row r="46" spans="1:8" ht="83.4" thickBot="1" x14ac:dyDescent="0.35">
      <c r="A46" s="160" t="s">
        <v>929</v>
      </c>
      <c r="B46" s="160"/>
      <c r="C46" s="90" t="s">
        <v>1018</v>
      </c>
      <c r="D46" s="154" t="s">
        <v>37</v>
      </c>
      <c r="E46" s="154">
        <v>1</v>
      </c>
      <c r="F46" s="20">
        <v>200000</v>
      </c>
      <c r="G46" s="405"/>
      <c r="H46" s="503">
        <f t="shared" si="0"/>
        <v>200000</v>
      </c>
    </row>
    <row r="47" spans="1:8" ht="48.75" customHeight="1" thickBot="1" x14ac:dyDescent="0.35">
      <c r="A47" s="160" t="s">
        <v>930</v>
      </c>
      <c r="B47" s="188" t="s">
        <v>247</v>
      </c>
      <c r="C47" s="90" t="s">
        <v>531</v>
      </c>
      <c r="D47" s="154" t="s">
        <v>42</v>
      </c>
      <c r="E47" s="154">
        <v>8</v>
      </c>
      <c r="F47" s="511">
        <v>342822.96</v>
      </c>
      <c r="G47" s="753">
        <f>0.15*F47</f>
        <v>51423.444000000003</v>
      </c>
      <c r="H47" s="503">
        <f t="shared" si="0"/>
        <v>3153971.2320000003</v>
      </c>
    </row>
    <row r="48" spans="1:8" ht="35.549999999999997" customHeight="1" thickBot="1" x14ac:dyDescent="0.35">
      <c r="A48" s="868" t="s">
        <v>559</v>
      </c>
      <c r="B48" s="869"/>
      <c r="C48" s="869"/>
      <c r="D48" s="869"/>
      <c r="E48" s="869"/>
      <c r="F48" s="869"/>
      <c r="G48" s="870"/>
      <c r="H48" s="865"/>
    </row>
  </sheetData>
  <mergeCells count="24">
    <mergeCell ref="H1:H2"/>
    <mergeCell ref="A48:G48"/>
    <mergeCell ref="A1:A2"/>
    <mergeCell ref="B1:B2"/>
    <mergeCell ref="C1:C2"/>
    <mergeCell ref="D1:D2"/>
    <mergeCell ref="E1:E2"/>
    <mergeCell ref="F1:G1"/>
    <mergeCell ref="A18:G18"/>
    <mergeCell ref="B19:B20"/>
    <mergeCell ref="C19:C20"/>
    <mergeCell ref="D19:D20"/>
    <mergeCell ref="E19:E20"/>
    <mergeCell ref="F19:G19"/>
    <mergeCell ref="A40:G40"/>
    <mergeCell ref="H19:H20"/>
    <mergeCell ref="H38:H39"/>
    <mergeCell ref="A21:G21"/>
    <mergeCell ref="A37:G37"/>
    <mergeCell ref="B38:B39"/>
    <mergeCell ref="C38:C39"/>
    <mergeCell ref="D38:D39"/>
    <mergeCell ref="E38:E39"/>
    <mergeCell ref="F38:G38"/>
  </mergeCells>
  <phoneticPr fontId="3" type="noConversion"/>
  <pageMargins left="0.70866141732283472" right="0.70866141732283472" top="0.74803149606299213" bottom="0.74803149606299213" header="0.31496062992125984" footer="0.31496062992125984"/>
  <pageSetup paperSize="9" scale="68" fitToHeight="0" orientation="portrait" r:id="rId1"/>
  <rowBreaks count="2" manualBreakCount="2">
    <brk id="18" max="7" man="1"/>
    <brk id="37" max="7"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H31"/>
  <sheetViews>
    <sheetView view="pageBreakPreview" topLeftCell="A20" zoomScale="98" zoomScaleNormal="100" zoomScaleSheetLayoutView="98" workbookViewId="0">
      <selection activeCell="J27" sqref="J27"/>
    </sheetView>
  </sheetViews>
  <sheetFormatPr defaultRowHeight="14.4" x14ac:dyDescent="0.3"/>
  <cols>
    <col min="1" max="1" width="7.109375" customWidth="1"/>
    <col min="2" max="2" width="7.88671875" customWidth="1"/>
    <col min="3" max="3" width="23.44140625" customWidth="1"/>
    <col min="4" max="4" width="5.44140625" customWidth="1"/>
    <col min="5" max="5" width="5.33203125" customWidth="1"/>
    <col min="6" max="6" width="11.21875" bestFit="1" customWidth="1"/>
    <col min="7" max="7" width="9.88671875" customWidth="1"/>
    <col min="8" max="8" width="36.33203125" customWidth="1"/>
  </cols>
  <sheetData>
    <row r="1" spans="1:8" ht="15" thickBot="1" x14ac:dyDescent="0.35">
      <c r="A1" s="882" t="s">
        <v>0</v>
      </c>
      <c r="B1" s="882" t="s">
        <v>1</v>
      </c>
      <c r="C1" s="892" t="s">
        <v>2</v>
      </c>
      <c r="D1" s="882" t="s">
        <v>3</v>
      </c>
      <c r="E1" s="882" t="s">
        <v>4</v>
      </c>
      <c r="F1" s="886" t="s">
        <v>5</v>
      </c>
      <c r="G1" s="887"/>
      <c r="H1" s="882" t="s">
        <v>6</v>
      </c>
    </row>
    <row r="2" spans="1:8" ht="15" thickBot="1" x14ac:dyDescent="0.35">
      <c r="A2" s="883"/>
      <c r="B2" s="883"/>
      <c r="C2" s="893"/>
      <c r="D2" s="883"/>
      <c r="E2" s="883"/>
      <c r="F2" s="14" t="s">
        <v>7</v>
      </c>
      <c r="G2" s="15" t="s">
        <v>8</v>
      </c>
      <c r="H2" s="883"/>
    </row>
    <row r="3" spans="1:8" ht="15" thickBot="1" x14ac:dyDescent="0.35">
      <c r="A3" s="16"/>
      <c r="B3" s="16"/>
      <c r="C3" s="130" t="s">
        <v>304</v>
      </c>
      <c r="D3" s="17"/>
      <c r="E3" s="17"/>
      <c r="F3" s="18"/>
      <c r="G3" s="177"/>
      <c r="H3" s="17"/>
    </row>
    <row r="4" spans="1:8" x14ac:dyDescent="0.3">
      <c r="A4" s="888">
        <v>13</v>
      </c>
      <c r="B4" s="838" t="s">
        <v>9</v>
      </c>
      <c r="C4" s="890" t="s">
        <v>124</v>
      </c>
      <c r="D4" s="876"/>
      <c r="E4" s="876"/>
      <c r="F4" s="884"/>
      <c r="G4" s="884"/>
      <c r="H4" s="884"/>
    </row>
    <row r="5" spans="1:8" ht="15" thickBot="1" x14ac:dyDescent="0.35">
      <c r="A5" s="889"/>
      <c r="B5" s="837" t="s">
        <v>10</v>
      </c>
      <c r="C5" s="891"/>
      <c r="D5" s="877"/>
      <c r="E5" s="877"/>
      <c r="F5" s="885"/>
      <c r="G5" s="885"/>
      <c r="H5" s="885"/>
    </row>
    <row r="6" spans="1:8" ht="15" thickBot="1" x14ac:dyDescent="0.35">
      <c r="A6" s="129">
        <v>13.1</v>
      </c>
      <c r="B6" s="169"/>
      <c r="C6" s="424" t="s">
        <v>125</v>
      </c>
      <c r="D6" s="153"/>
      <c r="E6" s="98"/>
      <c r="F6" s="25"/>
      <c r="G6" s="26"/>
      <c r="H6" s="175"/>
    </row>
    <row r="7" spans="1:8" ht="34.200000000000003" customHeight="1" thickBot="1" x14ac:dyDescent="0.35">
      <c r="A7" s="72" t="s">
        <v>305</v>
      </c>
      <c r="B7" s="22"/>
      <c r="C7" s="81" t="s">
        <v>126</v>
      </c>
      <c r="D7" s="153"/>
      <c r="E7" s="154"/>
      <c r="F7" s="23"/>
      <c r="G7" s="24"/>
      <c r="H7" s="169"/>
    </row>
    <row r="8" spans="1:8" ht="31.5" customHeight="1" thickBot="1" x14ac:dyDescent="0.35">
      <c r="A8" s="72" t="s">
        <v>308</v>
      </c>
      <c r="B8" s="169"/>
      <c r="C8" s="75" t="s">
        <v>127</v>
      </c>
      <c r="D8" s="153" t="s">
        <v>13</v>
      </c>
      <c r="E8" s="154">
        <v>5</v>
      </c>
      <c r="F8" s="507">
        <v>584</v>
      </c>
      <c r="G8" s="508">
        <v>135</v>
      </c>
      <c r="H8" s="499">
        <f>SUM(F8:G8)*E8</f>
        <v>3595</v>
      </c>
    </row>
    <row r="9" spans="1:8" ht="39" customHeight="1" thickBot="1" x14ac:dyDescent="0.35">
      <c r="A9" s="72" t="s">
        <v>309</v>
      </c>
      <c r="B9" s="169"/>
      <c r="C9" s="410" t="s">
        <v>128</v>
      </c>
      <c r="D9" s="153" t="s">
        <v>13</v>
      </c>
      <c r="E9" s="154">
        <v>3</v>
      </c>
      <c r="F9" s="507">
        <v>584</v>
      </c>
      <c r="G9" s="508">
        <v>135</v>
      </c>
      <c r="H9" s="499">
        <f>SUM(F9:G9)*E9</f>
        <v>2157</v>
      </c>
    </row>
    <row r="10" spans="1:8" ht="31.5" customHeight="1" thickBot="1" x14ac:dyDescent="0.35">
      <c r="A10" s="72" t="s">
        <v>310</v>
      </c>
      <c r="B10" s="169"/>
      <c r="C10" s="75" t="s">
        <v>129</v>
      </c>
      <c r="D10" s="153" t="s">
        <v>13</v>
      </c>
      <c r="E10" s="154">
        <v>1</v>
      </c>
      <c r="F10" s="507">
        <v>584</v>
      </c>
      <c r="G10" s="508">
        <v>135</v>
      </c>
      <c r="H10" s="499">
        <f>SUM(F10:G10)*E10</f>
        <v>719</v>
      </c>
    </row>
    <row r="11" spans="1:8" ht="31.5" customHeight="1" thickBot="1" x14ac:dyDescent="0.35">
      <c r="A11" s="72" t="s">
        <v>406</v>
      </c>
      <c r="B11" s="169"/>
      <c r="C11" s="75" t="s">
        <v>500</v>
      </c>
      <c r="D11" s="153" t="s">
        <v>13</v>
      </c>
      <c r="E11" s="154">
        <v>50</v>
      </c>
      <c r="F11" s="507">
        <v>95</v>
      </c>
      <c r="G11" s="508">
        <v>35</v>
      </c>
      <c r="H11" s="499">
        <f>SUM(F11:G11)*E11</f>
        <v>6500</v>
      </c>
    </row>
    <row r="12" spans="1:8" ht="30" customHeight="1" thickBot="1" x14ac:dyDescent="0.35">
      <c r="A12" s="72" t="s">
        <v>407</v>
      </c>
      <c r="B12" s="169"/>
      <c r="C12" s="90" t="s">
        <v>130</v>
      </c>
      <c r="D12" s="153" t="s">
        <v>13</v>
      </c>
      <c r="E12" s="154">
        <f>1</f>
        <v>1</v>
      </c>
      <c r="F12" s="507">
        <v>289</v>
      </c>
      <c r="G12" s="508">
        <v>105</v>
      </c>
      <c r="H12" s="499">
        <f>SUM(F12:G12)*E12</f>
        <v>394</v>
      </c>
    </row>
    <row r="13" spans="1:8" ht="15" customHeight="1" thickBot="1" x14ac:dyDescent="0.35">
      <c r="A13" s="72" t="s">
        <v>408</v>
      </c>
      <c r="B13" s="169"/>
      <c r="C13" s="424" t="s">
        <v>131</v>
      </c>
      <c r="D13" s="153"/>
      <c r="E13" s="154"/>
      <c r="F13" s="749"/>
      <c r="G13" s="750"/>
      <c r="H13" s="192"/>
    </row>
    <row r="14" spans="1:8" ht="43.5" customHeight="1" thickBot="1" x14ac:dyDescent="0.35">
      <c r="A14" s="72" t="s">
        <v>409</v>
      </c>
      <c r="B14" s="169"/>
      <c r="C14" s="410" t="s">
        <v>829</v>
      </c>
      <c r="D14" s="153" t="s">
        <v>13</v>
      </c>
      <c r="E14" s="154">
        <v>3</v>
      </c>
      <c r="F14" s="507">
        <v>3000</v>
      </c>
      <c r="G14" s="508">
        <v>450</v>
      </c>
      <c r="H14" s="499">
        <f>SUM(F14:G14)*E14</f>
        <v>10350</v>
      </c>
    </row>
    <row r="15" spans="1:8" ht="30.75" customHeight="1" thickBot="1" x14ac:dyDescent="0.35">
      <c r="A15" s="72" t="s">
        <v>410</v>
      </c>
      <c r="B15" s="169"/>
      <c r="C15" s="424" t="s">
        <v>132</v>
      </c>
      <c r="D15" s="153"/>
      <c r="E15" s="154"/>
      <c r="F15" s="749"/>
      <c r="G15" s="750"/>
      <c r="H15" s="192"/>
    </row>
    <row r="16" spans="1:8" ht="61.5" customHeight="1" thickBot="1" x14ac:dyDescent="0.35">
      <c r="A16" s="72" t="s">
        <v>411</v>
      </c>
      <c r="B16" s="169"/>
      <c r="C16" s="75" t="s">
        <v>828</v>
      </c>
      <c r="D16" s="153" t="s">
        <v>42</v>
      </c>
      <c r="E16" s="154">
        <v>6</v>
      </c>
      <c r="F16" s="507">
        <v>40000</v>
      </c>
      <c r="G16" s="508">
        <v>8500</v>
      </c>
      <c r="H16" s="499">
        <f>SUM(F16:G16)*E16</f>
        <v>291000</v>
      </c>
    </row>
    <row r="17" spans="1:8" ht="61.5" customHeight="1" thickBot="1" x14ac:dyDescent="0.35">
      <c r="A17" s="72" t="s">
        <v>412</v>
      </c>
      <c r="B17" s="169"/>
      <c r="C17" s="75" t="s">
        <v>273</v>
      </c>
      <c r="D17" s="153" t="s">
        <v>13</v>
      </c>
      <c r="E17" s="154">
        <f>1</f>
        <v>1</v>
      </c>
      <c r="F17" s="507">
        <v>8500</v>
      </c>
      <c r="G17" s="508">
        <v>4500</v>
      </c>
      <c r="H17" s="499">
        <f>SUM(F17:G17)*E17</f>
        <v>13000</v>
      </c>
    </row>
    <row r="18" spans="1:8" ht="44.4" customHeight="1" thickBot="1" x14ac:dyDescent="0.35">
      <c r="A18" s="72" t="s">
        <v>413</v>
      </c>
      <c r="B18" s="169"/>
      <c r="C18" s="75" t="s">
        <v>1012</v>
      </c>
      <c r="D18" s="153" t="s">
        <v>36</v>
      </c>
      <c r="E18" s="154">
        <f>200</f>
        <v>200</v>
      </c>
      <c r="F18" s="507">
        <v>45</v>
      </c>
      <c r="G18" s="508">
        <v>14.5</v>
      </c>
      <c r="H18" s="499">
        <f>SUM(F18:G18)*E18</f>
        <v>11900</v>
      </c>
    </row>
    <row r="19" spans="1:8" ht="28.2" thickBot="1" x14ac:dyDescent="0.35">
      <c r="A19" s="76">
        <v>13.2</v>
      </c>
      <c r="B19" s="72"/>
      <c r="C19" s="467" t="s">
        <v>152</v>
      </c>
      <c r="D19" s="151"/>
      <c r="E19" s="98"/>
      <c r="F19" s="26"/>
      <c r="G19" s="71"/>
      <c r="H19" s="152"/>
    </row>
    <row r="20" spans="1:8" ht="69.599999999999994" thickBot="1" x14ac:dyDescent="0.35">
      <c r="A20" s="76" t="s">
        <v>414</v>
      </c>
      <c r="B20" s="72"/>
      <c r="C20" s="401" t="s">
        <v>153</v>
      </c>
      <c r="D20" s="154" t="s">
        <v>13</v>
      </c>
      <c r="E20" s="154">
        <v>1</v>
      </c>
      <c r="F20" s="508">
        <v>10000</v>
      </c>
      <c r="G20" s="47"/>
      <c r="H20" s="503">
        <f>E20*(F20+G20)</f>
        <v>10000</v>
      </c>
    </row>
    <row r="21" spans="1:8" ht="83.4" thickBot="1" x14ac:dyDescent="0.35">
      <c r="A21" s="76">
        <v>13.3</v>
      </c>
      <c r="B21" s="72"/>
      <c r="C21" s="555" t="s">
        <v>1019</v>
      </c>
      <c r="D21" s="154" t="s">
        <v>880</v>
      </c>
      <c r="E21" s="154">
        <v>1</v>
      </c>
      <c r="F21" s="21">
        <v>100000</v>
      </c>
      <c r="G21" s="47"/>
      <c r="H21" s="503">
        <f>E21*(F21+G21)</f>
        <v>100000</v>
      </c>
    </row>
    <row r="22" spans="1:8" ht="35.549999999999997" customHeight="1" thickBot="1" x14ac:dyDescent="0.35">
      <c r="A22" s="871" t="s">
        <v>123</v>
      </c>
      <c r="B22" s="872"/>
      <c r="C22" s="872"/>
      <c r="D22" s="872"/>
      <c r="E22" s="872"/>
      <c r="F22" s="872"/>
      <c r="G22" s="873"/>
      <c r="H22" s="534">
        <f>SUM(H7:H21)</f>
        <v>449615</v>
      </c>
    </row>
    <row r="23" spans="1:8" ht="15" thickBot="1" x14ac:dyDescent="0.35">
      <c r="A23" s="35" t="s">
        <v>37</v>
      </c>
      <c r="B23" s="874" t="s">
        <v>1</v>
      </c>
      <c r="C23" s="878" t="s">
        <v>2</v>
      </c>
      <c r="D23" s="874" t="s">
        <v>3</v>
      </c>
      <c r="E23" s="874" t="s">
        <v>4</v>
      </c>
      <c r="F23" s="880" t="s">
        <v>5</v>
      </c>
      <c r="G23" s="881"/>
      <c r="H23" s="177" t="s">
        <v>6</v>
      </c>
    </row>
    <row r="24" spans="1:8" ht="15" thickBot="1" x14ac:dyDescent="0.35">
      <c r="A24" s="36" t="s">
        <v>38</v>
      </c>
      <c r="B24" s="875"/>
      <c r="C24" s="879"/>
      <c r="D24" s="875"/>
      <c r="E24" s="875"/>
      <c r="F24" s="18" t="s">
        <v>7</v>
      </c>
      <c r="G24" s="177" t="s">
        <v>8</v>
      </c>
      <c r="H24" s="37"/>
    </row>
    <row r="25" spans="1:8" ht="35.549999999999997" customHeight="1" thickBot="1" x14ac:dyDescent="0.35">
      <c r="A25" s="871" t="s">
        <v>566</v>
      </c>
      <c r="B25" s="872"/>
      <c r="C25" s="872"/>
      <c r="D25" s="872"/>
      <c r="E25" s="872"/>
      <c r="F25" s="872"/>
      <c r="G25" s="873"/>
      <c r="H25" s="534">
        <f>H22</f>
        <v>449615</v>
      </c>
    </row>
    <row r="26" spans="1:8" ht="42" thickBot="1" x14ac:dyDescent="0.35">
      <c r="A26" s="76">
        <v>13.4</v>
      </c>
      <c r="B26" s="72"/>
      <c r="C26" s="558" t="s">
        <v>990</v>
      </c>
      <c r="D26" s="152" t="s">
        <v>880</v>
      </c>
      <c r="E26" s="561">
        <f>1*0</f>
        <v>0</v>
      </c>
      <c r="F26" s="503">
        <v>400000</v>
      </c>
      <c r="G26" s="503"/>
      <c r="H26" s="503">
        <f t="shared" ref="H26:H27" si="0">E26*(F26+G26)</f>
        <v>0</v>
      </c>
    </row>
    <row r="27" spans="1:8" ht="55.8" thickBot="1" x14ac:dyDescent="0.35">
      <c r="A27" s="76">
        <v>13.5</v>
      </c>
      <c r="B27" s="72"/>
      <c r="C27" s="558" t="s">
        <v>1020</v>
      </c>
      <c r="D27" s="152" t="s">
        <v>880</v>
      </c>
      <c r="E27" s="154">
        <v>1</v>
      </c>
      <c r="F27" s="152">
        <v>1000000</v>
      </c>
      <c r="G27" s="47"/>
      <c r="H27" s="503">
        <f t="shared" si="0"/>
        <v>1000000</v>
      </c>
    </row>
    <row r="28" spans="1:8" ht="31.95" customHeight="1" thickBot="1" x14ac:dyDescent="0.35">
      <c r="A28" s="76">
        <v>13.6</v>
      </c>
      <c r="B28" s="72"/>
      <c r="C28" s="551" t="s">
        <v>154</v>
      </c>
      <c r="D28" s="113"/>
      <c r="E28" s="98"/>
      <c r="F28" s="26"/>
      <c r="G28" s="71"/>
      <c r="H28" s="152"/>
    </row>
    <row r="29" spans="1:8" ht="135" customHeight="1" thickBot="1" x14ac:dyDescent="0.35">
      <c r="A29" s="76" t="s">
        <v>1120</v>
      </c>
      <c r="B29" s="72"/>
      <c r="C29" s="48" t="s">
        <v>890</v>
      </c>
      <c r="D29" s="30" t="s">
        <v>13</v>
      </c>
      <c r="E29" s="154">
        <v>1</v>
      </c>
      <c r="F29" s="508">
        <v>30000</v>
      </c>
      <c r="G29" s="748"/>
      <c r="H29" s="503">
        <f>E29*(F29+G29)</f>
        <v>30000</v>
      </c>
    </row>
    <row r="30" spans="1:8" ht="35.549999999999997" customHeight="1" thickBot="1" x14ac:dyDescent="0.35">
      <c r="A30" s="868" t="s">
        <v>560</v>
      </c>
      <c r="B30" s="869"/>
      <c r="C30" s="869"/>
      <c r="D30" s="869"/>
      <c r="E30" s="869"/>
      <c r="F30" s="869"/>
      <c r="G30" s="870"/>
      <c r="H30" s="865"/>
    </row>
    <row r="31" spans="1:8" x14ac:dyDescent="0.3">
      <c r="A31" s="90"/>
      <c r="B31" s="19"/>
      <c r="C31" s="75"/>
      <c r="D31" s="19"/>
      <c r="E31" s="19"/>
      <c r="F31" s="31"/>
      <c r="G31" s="31"/>
      <c r="H31" s="31"/>
    </row>
  </sheetData>
  <mergeCells count="22">
    <mergeCell ref="D1:D2"/>
    <mergeCell ref="E1:E2"/>
    <mergeCell ref="A4:A5"/>
    <mergeCell ref="C4:C5"/>
    <mergeCell ref="A1:A2"/>
    <mergeCell ref="B1:B2"/>
    <mergeCell ref="C1:C2"/>
    <mergeCell ref="H1:H2"/>
    <mergeCell ref="H4:H5"/>
    <mergeCell ref="F1:G1"/>
    <mergeCell ref="F4:F5"/>
    <mergeCell ref="G4:G5"/>
    <mergeCell ref="A30:G30"/>
    <mergeCell ref="A22:G22"/>
    <mergeCell ref="A25:G25"/>
    <mergeCell ref="D23:D24"/>
    <mergeCell ref="E4:E5"/>
    <mergeCell ref="D4:D5"/>
    <mergeCell ref="C23:C24"/>
    <mergeCell ref="E23:E24"/>
    <mergeCell ref="F23:G23"/>
    <mergeCell ref="B23:B24"/>
  </mergeCells>
  <pageMargins left="0.70866141732283472" right="0.70866141732283472" top="0.74803149606299213" bottom="0.74803149606299213" header="0.31496062992125984" footer="0.31496062992125984"/>
  <pageSetup paperSize="9" scale="81" fitToHeight="0" orientation="portrait" r:id="rId1"/>
  <rowBreaks count="1" manualBreakCount="1">
    <brk id="22" max="7"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H31"/>
  <sheetViews>
    <sheetView view="pageBreakPreview" topLeftCell="A22" zoomScale="96" zoomScaleNormal="100" zoomScaleSheetLayoutView="96" workbookViewId="0">
      <selection activeCell="H31" sqref="H31"/>
    </sheetView>
  </sheetViews>
  <sheetFormatPr defaultRowHeight="14.4" x14ac:dyDescent="0.3"/>
  <cols>
    <col min="1" max="1" width="7.88671875" customWidth="1"/>
    <col min="2" max="2" width="11.6640625" style="389" customWidth="1"/>
    <col min="3" max="3" width="34.6640625" customWidth="1"/>
    <col min="4" max="4" width="5.6640625" customWidth="1"/>
    <col min="5" max="5" width="5.88671875" customWidth="1"/>
    <col min="6" max="6" width="11.6640625" customWidth="1"/>
    <col min="7" max="7" width="11.88671875" customWidth="1"/>
    <col min="8" max="8" width="36.33203125" customWidth="1"/>
  </cols>
  <sheetData>
    <row r="1" spans="1:8" ht="15.6" thickBot="1" x14ac:dyDescent="0.35">
      <c r="A1" s="3"/>
    </row>
    <row r="2" spans="1:8" ht="32.25" customHeight="1" thickBot="1" x14ac:dyDescent="0.35">
      <c r="A2" s="163" t="s">
        <v>37</v>
      </c>
      <c r="B2" s="1003" t="s">
        <v>1</v>
      </c>
      <c r="C2" s="1001" t="s">
        <v>2</v>
      </c>
      <c r="D2" s="1003" t="s">
        <v>3</v>
      </c>
      <c r="E2" s="1003" t="s">
        <v>4</v>
      </c>
      <c r="F2" s="1005" t="s">
        <v>5</v>
      </c>
      <c r="G2" s="1007"/>
      <c r="H2" s="1003" t="s">
        <v>6</v>
      </c>
    </row>
    <row r="3" spans="1:8" ht="15" thickBot="1" x14ac:dyDescent="0.35">
      <c r="A3" s="164" t="s">
        <v>38</v>
      </c>
      <c r="B3" s="1004"/>
      <c r="C3" s="1002"/>
      <c r="D3" s="1004"/>
      <c r="E3" s="1004"/>
      <c r="F3" s="157" t="s">
        <v>7</v>
      </c>
      <c r="G3" s="157" t="s">
        <v>8</v>
      </c>
      <c r="H3" s="1004"/>
    </row>
    <row r="4" spans="1:8" ht="15" thickBot="1" x14ac:dyDescent="0.35">
      <c r="A4" s="38"/>
      <c r="B4" s="390"/>
      <c r="C4" s="116" t="s">
        <v>415</v>
      </c>
      <c r="D4" s="156"/>
      <c r="E4" s="156"/>
      <c r="F4" s="52"/>
      <c r="G4" s="61"/>
      <c r="H4" s="156"/>
    </row>
    <row r="5" spans="1:8" ht="36.75" customHeight="1" thickBot="1" x14ac:dyDescent="0.35">
      <c r="A5" s="130">
        <v>14</v>
      </c>
      <c r="B5" s="729"/>
      <c r="C5" s="114" t="s">
        <v>60</v>
      </c>
      <c r="D5" s="147"/>
      <c r="E5" s="147"/>
      <c r="F5" s="43"/>
      <c r="G5" s="24"/>
      <c r="H5" s="168"/>
    </row>
    <row r="6" spans="1:8" ht="15.75" customHeight="1" x14ac:dyDescent="0.3">
      <c r="A6" s="1061">
        <v>14.1</v>
      </c>
      <c r="B6" s="966"/>
      <c r="C6" s="115" t="s">
        <v>61</v>
      </c>
      <c r="D6" s="1078"/>
      <c r="E6" s="1078"/>
      <c r="F6" s="876"/>
      <c r="G6" s="884"/>
      <c r="H6" s="1080"/>
    </row>
    <row r="7" spans="1:8" ht="180" thickBot="1" x14ac:dyDescent="0.35">
      <c r="A7" s="1062"/>
      <c r="B7" s="967"/>
      <c r="C7" s="32" t="s">
        <v>155</v>
      </c>
      <c r="D7" s="1079"/>
      <c r="E7" s="1079"/>
      <c r="F7" s="877"/>
      <c r="G7" s="885"/>
      <c r="H7" s="1081"/>
    </row>
    <row r="8" spans="1:8" ht="31.5" customHeight="1" thickBot="1" x14ac:dyDescent="0.35">
      <c r="A8" s="153" t="s">
        <v>416</v>
      </c>
      <c r="B8" s="192" t="s">
        <v>501</v>
      </c>
      <c r="C8" s="90" t="s">
        <v>882</v>
      </c>
      <c r="D8" s="179" t="s">
        <v>42</v>
      </c>
      <c r="E8" s="179">
        <f>4/2</f>
        <v>2</v>
      </c>
      <c r="F8" s="527">
        <v>93916</v>
      </c>
      <c r="G8" s="528">
        <v>2145</v>
      </c>
      <c r="H8" s="528">
        <f>SUM(F8:G8)*E8</f>
        <v>192122</v>
      </c>
    </row>
    <row r="9" spans="1:8" ht="31.5" customHeight="1" thickBot="1" x14ac:dyDescent="0.35">
      <c r="A9" s="153" t="s">
        <v>417</v>
      </c>
      <c r="B9" s="192"/>
      <c r="C9" s="90" t="s">
        <v>881</v>
      </c>
      <c r="D9" s="179" t="s">
        <v>42</v>
      </c>
      <c r="E9" s="834">
        <f>4*0</f>
        <v>0</v>
      </c>
      <c r="F9" s="527">
        <v>93916</v>
      </c>
      <c r="G9" s="528">
        <v>2145</v>
      </c>
      <c r="H9" s="528">
        <f>SUM(F9:G9)*E9</f>
        <v>0</v>
      </c>
    </row>
    <row r="10" spans="1:8" ht="31.2" customHeight="1" thickBot="1" x14ac:dyDescent="0.35">
      <c r="A10" s="72" t="s">
        <v>418</v>
      </c>
      <c r="B10" s="193"/>
      <c r="C10" s="412" t="s">
        <v>991</v>
      </c>
      <c r="D10" s="49" t="s">
        <v>42</v>
      </c>
      <c r="E10" s="835">
        <f>2*0</f>
        <v>0</v>
      </c>
      <c r="F10" s="529">
        <v>93916</v>
      </c>
      <c r="G10" s="530">
        <v>2145</v>
      </c>
      <c r="H10" s="530">
        <f>SUM(F10:G10)*E10</f>
        <v>0</v>
      </c>
    </row>
    <row r="11" spans="1:8" ht="31.5" customHeight="1" thickBot="1" x14ac:dyDescent="0.35">
      <c r="A11" s="165" t="s">
        <v>419</v>
      </c>
      <c r="B11" s="406" t="s">
        <v>502</v>
      </c>
      <c r="C11" s="32" t="s">
        <v>529</v>
      </c>
      <c r="D11" s="180" t="s">
        <v>42</v>
      </c>
      <c r="E11" s="180">
        <v>2</v>
      </c>
      <c r="F11" s="490">
        <v>11050</v>
      </c>
      <c r="G11" s="508">
        <v>1436</v>
      </c>
      <c r="H11" s="531">
        <f t="shared" ref="H11:H16" si="0">SUM(F11:G11)*E11</f>
        <v>24972</v>
      </c>
    </row>
    <row r="12" spans="1:8" ht="31.5" customHeight="1" thickBot="1" x14ac:dyDescent="0.35">
      <c r="A12" s="153" t="s">
        <v>420</v>
      </c>
      <c r="B12" s="192" t="s">
        <v>503</v>
      </c>
      <c r="C12" s="90" t="s">
        <v>274</v>
      </c>
      <c r="D12" s="180" t="s">
        <v>42</v>
      </c>
      <c r="E12" s="180">
        <v>2</v>
      </c>
      <c r="F12" s="532">
        <v>6590</v>
      </c>
      <c r="G12" s="533">
        <v>856.7</v>
      </c>
      <c r="H12" s="531">
        <f t="shared" si="0"/>
        <v>14893.4</v>
      </c>
    </row>
    <row r="13" spans="1:8" ht="31.5" customHeight="1" thickBot="1" x14ac:dyDescent="0.35">
      <c r="A13" s="153" t="s">
        <v>421</v>
      </c>
      <c r="B13" s="192" t="s">
        <v>502</v>
      </c>
      <c r="C13" s="90" t="s">
        <v>532</v>
      </c>
      <c r="D13" s="180" t="s">
        <v>42</v>
      </c>
      <c r="E13" s="180">
        <v>2</v>
      </c>
      <c r="F13" s="532">
        <v>14369</v>
      </c>
      <c r="G13" s="533">
        <v>1867</v>
      </c>
      <c r="H13" s="531">
        <f t="shared" si="0"/>
        <v>32472</v>
      </c>
    </row>
    <row r="14" spans="1:8" ht="31.5" customHeight="1" thickBot="1" x14ac:dyDescent="0.35">
      <c r="A14" s="153" t="s">
        <v>422</v>
      </c>
      <c r="B14" s="192" t="s">
        <v>504</v>
      </c>
      <c r="C14" s="90" t="s">
        <v>992</v>
      </c>
      <c r="D14" s="180" t="s">
        <v>42</v>
      </c>
      <c r="E14" s="180">
        <f>2</f>
        <v>2</v>
      </c>
      <c r="F14" s="532">
        <v>175861.4</v>
      </c>
      <c r="G14" s="533">
        <v>15262</v>
      </c>
      <c r="H14" s="531">
        <f t="shared" si="0"/>
        <v>382246.8</v>
      </c>
    </row>
    <row r="15" spans="1:8" ht="31.5" customHeight="1" thickBot="1" x14ac:dyDescent="0.35">
      <c r="A15" s="153" t="s">
        <v>423</v>
      </c>
      <c r="B15" s="192" t="s">
        <v>63</v>
      </c>
      <c r="C15" s="90" t="s">
        <v>1044</v>
      </c>
      <c r="D15" s="180" t="s">
        <v>42</v>
      </c>
      <c r="E15" s="180">
        <v>6</v>
      </c>
      <c r="F15" s="532">
        <v>77400</v>
      </c>
      <c r="G15" s="533">
        <v>6450</v>
      </c>
      <c r="H15" s="531">
        <f t="shared" si="0"/>
        <v>503100</v>
      </c>
    </row>
    <row r="16" spans="1:8" ht="124.8" thickBot="1" x14ac:dyDescent="0.35">
      <c r="A16" s="153" t="s">
        <v>424</v>
      </c>
      <c r="B16" s="192"/>
      <c r="C16" s="90" t="s">
        <v>767</v>
      </c>
      <c r="D16" s="180" t="s">
        <v>42</v>
      </c>
      <c r="E16" s="180">
        <v>2</v>
      </c>
      <c r="F16" s="490">
        <v>7500000</v>
      </c>
      <c r="G16" s="508">
        <v>65900</v>
      </c>
      <c r="H16" s="531">
        <f t="shared" si="0"/>
        <v>15131800</v>
      </c>
    </row>
    <row r="17" spans="1:8" ht="42" thickBot="1" x14ac:dyDescent="0.35">
      <c r="A17" s="153" t="s">
        <v>425</v>
      </c>
      <c r="B17" s="192"/>
      <c r="C17" s="90" t="s">
        <v>886</v>
      </c>
      <c r="D17" s="180" t="s">
        <v>42</v>
      </c>
      <c r="E17" s="180">
        <v>2</v>
      </c>
      <c r="F17" s="490">
        <v>500000</v>
      </c>
      <c r="G17" s="508">
        <v>29789</v>
      </c>
      <c r="H17" s="531">
        <f t="shared" ref="H17:H22" si="1">SUM(F17:G17)*E17</f>
        <v>1059578</v>
      </c>
    </row>
    <row r="18" spans="1:8" ht="31.5" customHeight="1" thickBot="1" x14ac:dyDescent="0.35">
      <c r="A18" s="153" t="s">
        <v>426</v>
      </c>
      <c r="B18" s="192" t="s">
        <v>505</v>
      </c>
      <c r="C18" s="90" t="s">
        <v>530</v>
      </c>
      <c r="D18" s="49" t="s">
        <v>42</v>
      </c>
      <c r="E18" s="835">
        <f>4*0</f>
        <v>0</v>
      </c>
      <c r="F18" s="493">
        <v>89400</v>
      </c>
      <c r="G18" s="496">
        <v>6450</v>
      </c>
      <c r="H18" s="531">
        <f t="shared" si="1"/>
        <v>0</v>
      </c>
    </row>
    <row r="19" spans="1:8" ht="31.5" customHeight="1" thickBot="1" x14ac:dyDescent="0.35">
      <c r="A19" s="153" t="s">
        <v>427</v>
      </c>
      <c r="B19" s="192"/>
      <c r="C19" s="90" t="s">
        <v>741</v>
      </c>
      <c r="D19" s="49" t="s">
        <v>42</v>
      </c>
      <c r="E19" s="835">
        <f>2*0</f>
        <v>0</v>
      </c>
      <c r="F19" s="493">
        <v>90345</v>
      </c>
      <c r="G19" s="496">
        <v>6450</v>
      </c>
      <c r="H19" s="531">
        <f t="shared" si="1"/>
        <v>0</v>
      </c>
    </row>
    <row r="20" spans="1:8" ht="31.5" customHeight="1" thickBot="1" x14ac:dyDescent="0.35">
      <c r="A20" s="153" t="s">
        <v>719</v>
      </c>
      <c r="B20" s="192"/>
      <c r="C20" s="90" t="s">
        <v>1045</v>
      </c>
      <c r="D20" s="49" t="s">
        <v>42</v>
      </c>
      <c r="E20" s="49">
        <v>6</v>
      </c>
      <c r="F20" s="493">
        <v>90345</v>
      </c>
      <c r="G20" s="496">
        <v>6450</v>
      </c>
      <c r="H20" s="531">
        <f t="shared" si="1"/>
        <v>580770</v>
      </c>
    </row>
    <row r="21" spans="1:8" ht="31.5" customHeight="1" thickBot="1" x14ac:dyDescent="0.35">
      <c r="A21" s="153" t="s">
        <v>720</v>
      </c>
      <c r="B21" s="199" t="s">
        <v>64</v>
      </c>
      <c r="C21" s="90" t="s">
        <v>993</v>
      </c>
      <c r="D21" s="179" t="s">
        <v>42</v>
      </c>
      <c r="E21" s="179">
        <v>18</v>
      </c>
      <c r="F21" s="527">
        <v>4959</v>
      </c>
      <c r="G21" s="528">
        <v>754</v>
      </c>
      <c r="H21" s="528">
        <f t="shared" si="1"/>
        <v>102834</v>
      </c>
    </row>
    <row r="22" spans="1:8" ht="31.5" customHeight="1" thickBot="1" x14ac:dyDescent="0.35">
      <c r="A22" s="153" t="s">
        <v>722</v>
      </c>
      <c r="B22" s="199" t="s">
        <v>506</v>
      </c>
      <c r="C22" s="90" t="s">
        <v>1032</v>
      </c>
      <c r="D22" s="49" t="s">
        <v>42</v>
      </c>
      <c r="E22" s="179">
        <v>12</v>
      </c>
      <c r="F22" s="529">
        <v>2864</v>
      </c>
      <c r="G22" s="528">
        <v>542</v>
      </c>
      <c r="H22" s="528">
        <f t="shared" si="1"/>
        <v>40872</v>
      </c>
    </row>
    <row r="23" spans="1:8" ht="35.549999999999997" customHeight="1" thickBot="1" x14ac:dyDescent="0.35">
      <c r="A23" s="871" t="s">
        <v>123</v>
      </c>
      <c r="B23" s="872"/>
      <c r="C23" s="872"/>
      <c r="D23" s="872"/>
      <c r="E23" s="872"/>
      <c r="F23" s="872"/>
      <c r="G23" s="873"/>
      <c r="H23" s="534">
        <f>SUM(H8:H22)</f>
        <v>18065660.199999999</v>
      </c>
    </row>
    <row r="24" spans="1:8" ht="15" thickBot="1" x14ac:dyDescent="0.35">
      <c r="A24" s="35" t="s">
        <v>37</v>
      </c>
      <c r="B24" s="874" t="s">
        <v>1</v>
      </c>
      <c r="C24" s="878" t="s">
        <v>2</v>
      </c>
      <c r="D24" s="874" t="s">
        <v>3</v>
      </c>
      <c r="E24" s="874" t="s">
        <v>4</v>
      </c>
      <c r="F24" s="880" t="s">
        <v>5</v>
      </c>
      <c r="G24" s="881"/>
      <c r="H24" s="177" t="s">
        <v>6</v>
      </c>
    </row>
    <row r="25" spans="1:8" ht="15" customHeight="1" thickBot="1" x14ac:dyDescent="0.35">
      <c r="A25" s="36" t="s">
        <v>38</v>
      </c>
      <c r="B25" s="875"/>
      <c r="C25" s="879"/>
      <c r="D25" s="875"/>
      <c r="E25" s="875"/>
      <c r="F25" s="18" t="s">
        <v>7</v>
      </c>
      <c r="G25" s="177" t="s">
        <v>8</v>
      </c>
      <c r="H25" s="37"/>
    </row>
    <row r="26" spans="1:8" ht="35.549999999999997" customHeight="1" thickBot="1" x14ac:dyDescent="0.35">
      <c r="A26" s="871" t="s">
        <v>566</v>
      </c>
      <c r="B26" s="872"/>
      <c r="C26" s="872"/>
      <c r="D26" s="872"/>
      <c r="E26" s="872"/>
      <c r="F26" s="872"/>
      <c r="G26" s="873"/>
      <c r="H26" s="534">
        <f>H23</f>
        <v>18065660.199999999</v>
      </c>
    </row>
    <row r="27" spans="1:8" ht="31.5" customHeight="1" thickBot="1" x14ac:dyDescent="0.35">
      <c r="A27" s="153" t="s">
        <v>883</v>
      </c>
      <c r="B27" s="199"/>
      <c r="C27" s="90" t="s">
        <v>721</v>
      </c>
      <c r="D27" s="49" t="s">
        <v>42</v>
      </c>
      <c r="E27" s="834">
        <v>0</v>
      </c>
      <c r="F27" s="532">
        <v>117400</v>
      </c>
      <c r="G27" s="530">
        <v>15262</v>
      </c>
      <c r="H27" s="528">
        <f t="shared" ref="H27:H30" si="2">SUM(F27:G27)*E27</f>
        <v>0</v>
      </c>
    </row>
    <row r="28" spans="1:8" ht="31.5" customHeight="1" thickBot="1" x14ac:dyDescent="0.35">
      <c r="A28" s="153" t="s">
        <v>884</v>
      </c>
      <c r="B28" s="199"/>
      <c r="C28" s="90" t="s">
        <v>723</v>
      </c>
      <c r="D28" s="49" t="s">
        <v>42</v>
      </c>
      <c r="E28" s="834">
        <v>0</v>
      </c>
      <c r="F28" s="532">
        <v>167400</v>
      </c>
      <c r="G28" s="533">
        <v>35262</v>
      </c>
      <c r="H28" s="528">
        <f t="shared" si="2"/>
        <v>0</v>
      </c>
    </row>
    <row r="29" spans="1:8" ht="31.5" customHeight="1" thickBot="1" x14ac:dyDescent="0.35">
      <c r="A29" s="153" t="s">
        <v>885</v>
      </c>
      <c r="B29" s="199"/>
      <c r="C29" s="90" t="s">
        <v>986</v>
      </c>
      <c r="D29" s="49" t="s">
        <v>42</v>
      </c>
      <c r="E29" s="179">
        <v>2</v>
      </c>
      <c r="F29" s="532">
        <v>67400</v>
      </c>
      <c r="G29" s="533">
        <v>35262</v>
      </c>
      <c r="H29" s="528">
        <f t="shared" si="2"/>
        <v>205324</v>
      </c>
    </row>
    <row r="30" spans="1:8" ht="31.5" customHeight="1" thickBot="1" x14ac:dyDescent="0.35">
      <c r="A30" s="153" t="s">
        <v>985</v>
      </c>
      <c r="B30" s="199" t="s">
        <v>506</v>
      </c>
      <c r="C30" s="90" t="s">
        <v>742</v>
      </c>
      <c r="D30" s="49" t="s">
        <v>42</v>
      </c>
      <c r="E30" s="179">
        <v>2</v>
      </c>
      <c r="F30" s="532">
        <v>93000</v>
      </c>
      <c r="G30" s="533">
        <v>35262</v>
      </c>
      <c r="H30" s="528">
        <f t="shared" si="2"/>
        <v>256524</v>
      </c>
    </row>
    <row r="31" spans="1:8" ht="35.549999999999997" customHeight="1" thickBot="1" x14ac:dyDescent="0.35">
      <c r="A31" s="983" t="s">
        <v>561</v>
      </c>
      <c r="B31" s="984"/>
      <c r="C31" s="984"/>
      <c r="D31" s="984"/>
      <c r="E31" s="984"/>
      <c r="F31" s="28"/>
      <c r="G31" s="208"/>
      <c r="H31" s="862"/>
    </row>
  </sheetData>
  <mergeCells count="21">
    <mergeCell ref="A31:E31"/>
    <mergeCell ref="H6:H7"/>
    <mergeCell ref="A6:A7"/>
    <mergeCell ref="G6:G7"/>
    <mergeCell ref="E6:E7"/>
    <mergeCell ref="B6:B7"/>
    <mergeCell ref="A23:G23"/>
    <mergeCell ref="B24:B25"/>
    <mergeCell ref="C24:C25"/>
    <mergeCell ref="D24:D25"/>
    <mergeCell ref="E24:E25"/>
    <mergeCell ref="F24:G24"/>
    <mergeCell ref="A26:G26"/>
    <mergeCell ref="H2:H3"/>
    <mergeCell ref="B2:B3"/>
    <mergeCell ref="C2:C3"/>
    <mergeCell ref="D6:D7"/>
    <mergeCell ref="F6:F7"/>
    <mergeCell ref="D2:D3"/>
    <mergeCell ref="E2:E3"/>
    <mergeCell ref="F2:G2"/>
  </mergeCells>
  <phoneticPr fontId="3" type="noConversion"/>
  <pageMargins left="0.70866141732283472" right="0.70866141732283472" top="0.74803149606299213" bottom="0.74803149606299213" header="0.31496062992125984" footer="0.31496062992125984"/>
  <pageSetup paperSize="9" scale="69" fitToHeight="0" orientation="portrait" r:id="rId1"/>
  <rowBreaks count="1" manualBreakCount="1">
    <brk id="23" max="16383" man="1"/>
  </row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H73"/>
  <sheetViews>
    <sheetView view="pageBreakPreview" topLeftCell="A60" zoomScale="96" zoomScaleNormal="100" zoomScaleSheetLayoutView="96" workbookViewId="0">
      <selection activeCell="H73" sqref="H73"/>
    </sheetView>
  </sheetViews>
  <sheetFormatPr defaultRowHeight="14.4" x14ac:dyDescent="0.3"/>
  <cols>
    <col min="1" max="1" width="7.88671875" style="132" bestFit="1" customWidth="1"/>
    <col min="2" max="2" width="8.44140625" style="389" customWidth="1"/>
    <col min="3" max="3" width="38.6640625" customWidth="1"/>
    <col min="4" max="4" width="5.88671875" customWidth="1"/>
    <col min="5" max="5" width="6.6640625" customWidth="1"/>
    <col min="6" max="6" width="10.33203125" bestFit="1" customWidth="1"/>
    <col min="7" max="7" width="11.77734375" customWidth="1"/>
    <col min="8" max="8" width="36.33203125" customWidth="1"/>
  </cols>
  <sheetData>
    <row r="1" spans="1:8" ht="15" thickBot="1" x14ac:dyDescent="0.35">
      <c r="A1" s="131"/>
    </row>
    <row r="2" spans="1:8" ht="32.25" customHeight="1" thickBot="1" x14ac:dyDescent="0.35">
      <c r="A2" s="106" t="s">
        <v>37</v>
      </c>
      <c r="B2" s="882" t="s">
        <v>1</v>
      </c>
      <c r="C2" s="892" t="s">
        <v>2</v>
      </c>
      <c r="D2" s="882" t="s">
        <v>3</v>
      </c>
      <c r="E2" s="882" t="s">
        <v>4</v>
      </c>
      <c r="F2" s="886" t="s">
        <v>5</v>
      </c>
      <c r="G2" s="887"/>
      <c r="H2" s="882" t="s">
        <v>6</v>
      </c>
    </row>
    <row r="3" spans="1:8" ht="15" thickBot="1" x14ac:dyDescent="0.35">
      <c r="A3" s="107" t="s">
        <v>38</v>
      </c>
      <c r="B3" s="883"/>
      <c r="C3" s="893"/>
      <c r="D3" s="883"/>
      <c r="E3" s="883"/>
      <c r="F3" s="146" t="s">
        <v>7</v>
      </c>
      <c r="G3" s="146" t="s">
        <v>8</v>
      </c>
      <c r="H3" s="883"/>
    </row>
    <row r="4" spans="1:8" ht="15" thickBot="1" x14ac:dyDescent="0.35">
      <c r="A4" s="38"/>
      <c r="B4" s="390"/>
      <c r="C4" s="562" t="s">
        <v>428</v>
      </c>
      <c r="D4" s="107"/>
      <c r="E4" s="145"/>
      <c r="F4" s="117"/>
      <c r="G4" s="117"/>
      <c r="H4" s="145"/>
    </row>
    <row r="5" spans="1:8" ht="15" thickBot="1" x14ac:dyDescent="0.35">
      <c r="A5" s="130">
        <v>15</v>
      </c>
      <c r="B5" s="729"/>
      <c r="C5" s="114" t="s">
        <v>896</v>
      </c>
      <c r="D5" s="565"/>
      <c r="E5" s="147"/>
      <c r="F5" s="43"/>
      <c r="G5" s="23"/>
      <c r="H5" s="168"/>
    </row>
    <row r="6" spans="1:8" ht="15" customHeight="1" x14ac:dyDescent="0.3">
      <c r="A6" s="1061">
        <v>15.1</v>
      </c>
      <c r="B6" s="966"/>
      <c r="C6" s="115" t="s">
        <v>61</v>
      </c>
      <c r="D6" s="1078"/>
      <c r="E6" s="1078"/>
      <c r="F6" s="876"/>
      <c r="G6" s="884"/>
      <c r="H6" s="1080"/>
    </row>
    <row r="7" spans="1:8" ht="52.2" customHeight="1" thickBot="1" x14ac:dyDescent="0.35">
      <c r="A7" s="1062"/>
      <c r="B7" s="967"/>
      <c r="C7" s="114" t="s">
        <v>62</v>
      </c>
      <c r="D7" s="1079"/>
      <c r="E7" s="1079"/>
      <c r="F7" s="877"/>
      <c r="G7" s="885"/>
      <c r="H7" s="1081"/>
    </row>
    <row r="8" spans="1:8" ht="17.25" customHeight="1" thickBot="1" x14ac:dyDescent="0.35">
      <c r="A8" s="72" t="s">
        <v>429</v>
      </c>
      <c r="B8" s="730"/>
      <c r="C8" s="563" t="s">
        <v>133</v>
      </c>
      <c r="D8" s="566"/>
      <c r="E8" s="180"/>
      <c r="F8" s="43"/>
      <c r="G8" s="23"/>
      <c r="H8" s="178"/>
    </row>
    <row r="9" spans="1:8" ht="52.5" customHeight="1" thickBot="1" x14ac:dyDescent="0.35">
      <c r="A9" s="72" t="s">
        <v>430</v>
      </c>
      <c r="B9" s="191"/>
      <c r="C9" s="412" t="s">
        <v>228</v>
      </c>
      <c r="D9" s="566" t="s">
        <v>13</v>
      </c>
      <c r="E9" s="180">
        <v>1</v>
      </c>
      <c r="F9" s="490">
        <v>15800</v>
      </c>
      <c r="G9" s="507"/>
      <c r="H9" s="531">
        <f t="shared" ref="H9:H14" si="0">E9*(F9+G9)</f>
        <v>15800</v>
      </c>
    </row>
    <row r="10" spans="1:8" ht="26.25" customHeight="1" thickBot="1" x14ac:dyDescent="0.35">
      <c r="A10" s="72" t="s">
        <v>431</v>
      </c>
      <c r="B10" s="191"/>
      <c r="C10" s="412" t="s">
        <v>1035</v>
      </c>
      <c r="D10" s="566" t="s">
        <v>42</v>
      </c>
      <c r="E10" s="180">
        <v>45</v>
      </c>
      <c r="F10" s="490">
        <v>5625</v>
      </c>
      <c r="G10" s="507">
        <v>3868</v>
      </c>
      <c r="H10" s="531">
        <f t="shared" si="0"/>
        <v>427185</v>
      </c>
    </row>
    <row r="11" spans="1:8" ht="27.75" customHeight="1" thickBot="1" x14ac:dyDescent="0.35">
      <c r="A11" s="72" t="s">
        <v>432</v>
      </c>
      <c r="B11" s="191"/>
      <c r="C11" s="412" t="s">
        <v>1036</v>
      </c>
      <c r="D11" s="566" t="s">
        <v>36</v>
      </c>
      <c r="E11" s="180">
        <v>800</v>
      </c>
      <c r="F11" s="490">
        <f>1300*3</f>
        <v>3900</v>
      </c>
      <c r="G11" s="507">
        <v>55</v>
      </c>
      <c r="H11" s="531">
        <f t="shared" si="0"/>
        <v>3164000</v>
      </c>
    </row>
    <row r="12" spans="1:8" ht="33" customHeight="1" thickBot="1" x14ac:dyDescent="0.35">
      <c r="A12" s="72" t="s">
        <v>433</v>
      </c>
      <c r="B12" s="561"/>
      <c r="C12" s="90" t="s">
        <v>730</v>
      </c>
      <c r="D12" s="566" t="s">
        <v>42</v>
      </c>
      <c r="E12" s="180">
        <v>20</v>
      </c>
      <c r="F12" s="490">
        <v>3550</v>
      </c>
      <c r="G12" s="507">
        <v>3638</v>
      </c>
      <c r="H12" s="531">
        <f t="shared" si="0"/>
        <v>143760</v>
      </c>
    </row>
    <row r="13" spans="1:8" ht="33" customHeight="1" thickBot="1" x14ac:dyDescent="0.35">
      <c r="A13" s="72" t="s">
        <v>434</v>
      </c>
      <c r="B13" s="561"/>
      <c r="C13" s="90" t="s">
        <v>230</v>
      </c>
      <c r="D13" s="566" t="s">
        <v>42</v>
      </c>
      <c r="E13" s="180">
        <v>20</v>
      </c>
      <c r="F13" s="490">
        <v>1500</v>
      </c>
      <c r="G13" s="507">
        <v>359</v>
      </c>
      <c r="H13" s="531">
        <f t="shared" si="0"/>
        <v>37180</v>
      </c>
    </row>
    <row r="14" spans="1:8" ht="69.599999999999994" thickBot="1" x14ac:dyDescent="0.35">
      <c r="A14" s="72" t="s">
        <v>934</v>
      </c>
      <c r="B14" s="561" t="s">
        <v>935</v>
      </c>
      <c r="C14" s="90" t="s">
        <v>973</v>
      </c>
      <c r="D14" s="566" t="s">
        <v>880</v>
      </c>
      <c r="E14" s="180">
        <v>1</v>
      </c>
      <c r="F14" s="46">
        <v>300000</v>
      </c>
      <c r="G14" s="20"/>
      <c r="H14" s="531">
        <f t="shared" si="0"/>
        <v>300000</v>
      </c>
    </row>
    <row r="15" spans="1:8" ht="16.5" customHeight="1" thickBot="1" x14ac:dyDescent="0.35">
      <c r="A15" s="72" t="s">
        <v>435</v>
      </c>
      <c r="B15" s="191"/>
      <c r="C15" s="564" t="s">
        <v>275</v>
      </c>
      <c r="D15" s="567"/>
      <c r="E15" s="111"/>
      <c r="F15" s="112"/>
      <c r="G15" s="568"/>
      <c r="H15" s="178"/>
    </row>
    <row r="16" spans="1:8" ht="30.75" customHeight="1" thickBot="1" x14ac:dyDescent="0.35">
      <c r="A16" s="72" t="s">
        <v>436</v>
      </c>
      <c r="B16" s="191"/>
      <c r="C16" s="412" t="s">
        <v>94</v>
      </c>
      <c r="D16" s="566" t="s">
        <v>42</v>
      </c>
      <c r="E16" s="180">
        <v>50</v>
      </c>
      <c r="F16" s="490">
        <v>356</v>
      </c>
      <c r="G16" s="507">
        <v>29</v>
      </c>
      <c r="H16" s="531">
        <f>E16*(F16+G16)</f>
        <v>19250</v>
      </c>
    </row>
    <row r="17" spans="1:8" ht="17.25" customHeight="1" thickBot="1" x14ac:dyDescent="0.35">
      <c r="A17" s="72">
        <v>15.3</v>
      </c>
      <c r="B17" s="191"/>
      <c r="C17" s="564" t="s">
        <v>134</v>
      </c>
      <c r="D17" s="567"/>
      <c r="E17" s="111"/>
      <c r="F17" s="112"/>
      <c r="G17" s="568"/>
      <c r="H17" s="178"/>
    </row>
    <row r="18" spans="1:8" ht="52.2" customHeight="1" thickBot="1" x14ac:dyDescent="0.35">
      <c r="A18" s="72" t="s">
        <v>437</v>
      </c>
      <c r="B18" s="191"/>
      <c r="C18" s="412" t="s">
        <v>933</v>
      </c>
      <c r="D18" s="124" t="s">
        <v>13</v>
      </c>
      <c r="E18" s="154">
        <v>1</v>
      </c>
      <c r="F18" s="46">
        <v>15000</v>
      </c>
      <c r="G18" s="507"/>
      <c r="H18" s="531">
        <f>E18*(F18+G18)</f>
        <v>15000</v>
      </c>
    </row>
    <row r="19" spans="1:8" ht="42" thickBot="1" x14ac:dyDescent="0.35">
      <c r="A19" s="72" t="s">
        <v>438</v>
      </c>
      <c r="B19" s="191"/>
      <c r="C19" s="412" t="s">
        <v>974</v>
      </c>
      <c r="D19" s="124" t="s">
        <v>13</v>
      </c>
      <c r="E19" s="154">
        <v>1</v>
      </c>
      <c r="F19" s="46">
        <v>300000</v>
      </c>
      <c r="G19" s="507"/>
      <c r="H19" s="531">
        <f>E19*(F19+G19)</f>
        <v>300000</v>
      </c>
    </row>
    <row r="20" spans="1:8" ht="44.25" customHeight="1" thickBot="1" x14ac:dyDescent="0.35">
      <c r="A20" s="72" t="s">
        <v>439</v>
      </c>
      <c r="B20" s="191"/>
      <c r="C20" s="412" t="s">
        <v>975</v>
      </c>
      <c r="D20" s="124" t="s">
        <v>13</v>
      </c>
      <c r="E20" s="154">
        <v>1</v>
      </c>
      <c r="F20" s="46">
        <v>300000</v>
      </c>
      <c r="G20" s="507"/>
      <c r="H20" s="531">
        <f>E20*(F20+G20)</f>
        <v>300000</v>
      </c>
    </row>
    <row r="21" spans="1:8" ht="40.5" customHeight="1" thickBot="1" x14ac:dyDescent="0.35">
      <c r="A21" s="72" t="s">
        <v>440</v>
      </c>
      <c r="B21" s="191"/>
      <c r="C21" s="412" t="s">
        <v>743</v>
      </c>
      <c r="D21" s="566" t="s">
        <v>13</v>
      </c>
      <c r="E21" s="180">
        <v>1</v>
      </c>
      <c r="F21" s="46">
        <v>11500</v>
      </c>
      <c r="G21" s="507"/>
      <c r="H21" s="531">
        <f>E21*(F21+G21)</f>
        <v>11500</v>
      </c>
    </row>
    <row r="22" spans="1:8" ht="37.5" customHeight="1" thickBot="1" x14ac:dyDescent="0.35">
      <c r="A22" s="92" t="s">
        <v>441</v>
      </c>
      <c r="B22" s="610"/>
      <c r="C22" s="90" t="s">
        <v>535</v>
      </c>
      <c r="D22" s="566" t="s">
        <v>36</v>
      </c>
      <c r="E22" s="180">
        <v>0</v>
      </c>
      <c r="F22" s="490">
        <v>1050</v>
      </c>
      <c r="G22" s="507">
        <v>55</v>
      </c>
      <c r="H22" s="531">
        <f>E22*(F22+G22)</f>
        <v>0</v>
      </c>
    </row>
    <row r="23" spans="1:8" ht="44.25" customHeight="1" thickBot="1" x14ac:dyDescent="0.35">
      <c r="A23" s="92" t="s">
        <v>442</v>
      </c>
      <c r="B23" s="610"/>
      <c r="C23" s="90" t="s">
        <v>534</v>
      </c>
      <c r="D23" s="566" t="s">
        <v>42</v>
      </c>
      <c r="E23" s="180" t="s">
        <v>977</v>
      </c>
      <c r="F23" s="490"/>
      <c r="G23" s="507"/>
      <c r="H23" s="833" t="s">
        <v>977</v>
      </c>
    </row>
    <row r="24" spans="1:8" ht="54.75" customHeight="1" thickBot="1" x14ac:dyDescent="0.35">
      <c r="A24" s="92" t="s">
        <v>443</v>
      </c>
      <c r="B24" s="610"/>
      <c r="C24" s="90" t="s">
        <v>1037</v>
      </c>
      <c r="D24" s="566" t="s">
        <v>42</v>
      </c>
      <c r="E24" s="180">
        <v>100</v>
      </c>
      <c r="F24" s="490">
        <v>1500</v>
      </c>
      <c r="G24" s="507">
        <f>F24*0.3</f>
        <v>450</v>
      </c>
      <c r="H24" s="531">
        <f>E24*(F24+G24)</f>
        <v>195000</v>
      </c>
    </row>
    <row r="25" spans="1:8" ht="44.25" customHeight="1" thickBot="1" x14ac:dyDescent="0.35">
      <c r="A25" s="92" t="s">
        <v>444</v>
      </c>
      <c r="B25" s="610"/>
      <c r="C25" s="412" t="s">
        <v>536</v>
      </c>
      <c r="D25" s="566" t="s">
        <v>42</v>
      </c>
      <c r="E25" s="180" t="s">
        <v>977</v>
      </c>
      <c r="F25" s="490"/>
      <c r="G25" s="507"/>
      <c r="H25" s="833" t="s">
        <v>977</v>
      </c>
    </row>
    <row r="26" spans="1:8" ht="29.25" customHeight="1" thickBot="1" x14ac:dyDescent="0.35">
      <c r="A26" s="92" t="s">
        <v>931</v>
      </c>
      <c r="B26" s="610"/>
      <c r="C26" s="412" t="s">
        <v>94</v>
      </c>
      <c r="D26" s="566" t="s">
        <v>42</v>
      </c>
      <c r="E26" s="180">
        <v>30</v>
      </c>
      <c r="F26" s="490">
        <v>310</v>
      </c>
      <c r="G26" s="507">
        <v>25</v>
      </c>
      <c r="H26" s="531">
        <f>E26*(F26+G26)</f>
        <v>10050</v>
      </c>
    </row>
    <row r="27" spans="1:8" ht="35.549999999999997" customHeight="1" thickBot="1" x14ac:dyDescent="0.35">
      <c r="A27" s="1082" t="s">
        <v>123</v>
      </c>
      <c r="B27" s="1083"/>
      <c r="C27" s="1083"/>
      <c r="D27" s="1083"/>
      <c r="E27" s="1083"/>
      <c r="F27" s="1083"/>
      <c r="G27" s="1084"/>
      <c r="H27" s="537">
        <f>SUM(H9:H26)</f>
        <v>4938725</v>
      </c>
    </row>
    <row r="28" spans="1:8" ht="15" customHeight="1" thickBot="1" x14ac:dyDescent="0.35">
      <c r="A28" s="106" t="s">
        <v>37</v>
      </c>
      <c r="B28" s="1085" t="s">
        <v>1</v>
      </c>
      <c r="C28" s="892" t="s">
        <v>2</v>
      </c>
      <c r="D28" s="882" t="s">
        <v>3</v>
      </c>
      <c r="E28" s="882" t="s">
        <v>4</v>
      </c>
      <c r="F28" s="886" t="s">
        <v>5</v>
      </c>
      <c r="G28" s="887"/>
      <c r="H28" s="882" t="s">
        <v>6</v>
      </c>
    </row>
    <row r="29" spans="1:8" ht="15" customHeight="1" thickBot="1" x14ac:dyDescent="0.35">
      <c r="A29" s="107" t="s">
        <v>38</v>
      </c>
      <c r="B29" s="1086"/>
      <c r="C29" s="893"/>
      <c r="D29" s="883"/>
      <c r="E29" s="883"/>
      <c r="F29" s="146" t="s">
        <v>7</v>
      </c>
      <c r="G29" s="146" t="s">
        <v>8</v>
      </c>
      <c r="H29" s="883"/>
    </row>
    <row r="30" spans="1:8" ht="35.549999999999997" customHeight="1" thickBot="1" x14ac:dyDescent="0.35">
      <c r="A30" s="1082" t="s">
        <v>566</v>
      </c>
      <c r="B30" s="1083"/>
      <c r="C30" s="1083"/>
      <c r="D30" s="1083"/>
      <c r="E30" s="1083"/>
      <c r="F30" s="1083"/>
      <c r="G30" s="1084"/>
      <c r="H30" s="537">
        <f>H27</f>
        <v>4938725</v>
      </c>
    </row>
    <row r="31" spans="1:8" ht="29.25" customHeight="1" thickBot="1" x14ac:dyDescent="0.35">
      <c r="A31" s="92" t="s">
        <v>932</v>
      </c>
      <c r="B31" s="610"/>
      <c r="C31" s="90" t="s">
        <v>81</v>
      </c>
      <c r="D31" s="49" t="s">
        <v>42</v>
      </c>
      <c r="E31" s="180">
        <v>20</v>
      </c>
      <c r="F31" s="490">
        <v>1500</v>
      </c>
      <c r="G31" s="508">
        <v>355</v>
      </c>
      <c r="H31" s="531">
        <f t="shared" ref="H31" si="1">E31*(F31+G31)</f>
        <v>37100</v>
      </c>
    </row>
    <row r="32" spans="1:8" ht="28.2" thickBot="1" x14ac:dyDescent="0.35">
      <c r="A32" s="92">
        <v>15.4</v>
      </c>
      <c r="B32" s="610"/>
      <c r="C32" s="569" t="s">
        <v>547</v>
      </c>
      <c r="D32" s="111"/>
      <c r="E32" s="111"/>
      <c r="F32" s="535"/>
      <c r="G32" s="506"/>
      <c r="H32" s="536"/>
    </row>
    <row r="33" spans="1:8" ht="30.75" customHeight="1" thickBot="1" x14ac:dyDescent="0.35">
      <c r="A33" s="92" t="s">
        <v>445</v>
      </c>
      <c r="B33" s="610"/>
      <c r="C33" s="90" t="s">
        <v>537</v>
      </c>
      <c r="D33" s="180" t="s">
        <v>36</v>
      </c>
      <c r="E33" s="180">
        <v>100</v>
      </c>
      <c r="F33" s="490">
        <v>462</v>
      </c>
      <c r="G33" s="508">
        <v>35</v>
      </c>
      <c r="H33" s="531">
        <f>E33*(F33+G33)</f>
        <v>49700</v>
      </c>
    </row>
    <row r="34" spans="1:8" ht="30.75" customHeight="1" thickBot="1" x14ac:dyDescent="0.35">
      <c r="A34" s="92" t="s">
        <v>446</v>
      </c>
      <c r="B34" s="610"/>
      <c r="C34" s="90" t="s">
        <v>538</v>
      </c>
      <c r="D34" s="180" t="s">
        <v>36</v>
      </c>
      <c r="E34" s="832">
        <v>0</v>
      </c>
      <c r="F34" s="490">
        <v>542</v>
      </c>
      <c r="G34" s="508">
        <v>38</v>
      </c>
      <c r="H34" s="531">
        <f t="shared" ref="H34:H40" si="2">E34*(F34+G34)</f>
        <v>0</v>
      </c>
    </row>
    <row r="35" spans="1:8" ht="30.75" customHeight="1" thickBot="1" x14ac:dyDescent="0.35">
      <c r="A35" s="92" t="s">
        <v>447</v>
      </c>
      <c r="B35" s="610"/>
      <c r="C35" s="90" t="s">
        <v>539</v>
      </c>
      <c r="D35" s="180" t="s">
        <v>36</v>
      </c>
      <c r="E35" s="832">
        <v>0</v>
      </c>
      <c r="F35" s="490">
        <v>659</v>
      </c>
      <c r="G35" s="508">
        <v>44</v>
      </c>
      <c r="H35" s="531">
        <f t="shared" si="2"/>
        <v>0</v>
      </c>
    </row>
    <row r="36" spans="1:8" ht="30.75" customHeight="1" thickBot="1" x14ac:dyDescent="0.35">
      <c r="A36" s="92" t="s">
        <v>448</v>
      </c>
      <c r="B36" s="610"/>
      <c r="C36" s="90" t="s">
        <v>546</v>
      </c>
      <c r="D36" s="180" t="s">
        <v>36</v>
      </c>
      <c r="E36" s="180">
        <f>60*10</f>
        <v>600</v>
      </c>
      <c r="F36" s="490">
        <v>710</v>
      </c>
      <c r="G36" s="508">
        <v>45</v>
      </c>
      <c r="H36" s="531">
        <f t="shared" si="2"/>
        <v>453000</v>
      </c>
    </row>
    <row r="37" spans="1:8" ht="33" customHeight="1" thickBot="1" x14ac:dyDescent="0.35">
      <c r="A37" s="92" t="s">
        <v>449</v>
      </c>
      <c r="B37" s="610"/>
      <c r="C37" s="90" t="s">
        <v>81</v>
      </c>
      <c r="D37" s="180" t="s">
        <v>42</v>
      </c>
      <c r="E37" s="180">
        <v>16</v>
      </c>
      <c r="F37" s="490">
        <v>2056</v>
      </c>
      <c r="G37" s="508">
        <v>355</v>
      </c>
      <c r="H37" s="531">
        <f t="shared" si="2"/>
        <v>38576</v>
      </c>
    </row>
    <row r="38" spans="1:8" ht="33" customHeight="1" thickBot="1" x14ac:dyDescent="0.35">
      <c r="A38" s="92" t="s">
        <v>450</v>
      </c>
      <c r="B38" s="610"/>
      <c r="C38" s="569" t="s">
        <v>229</v>
      </c>
      <c r="D38" s="111"/>
      <c r="E38" s="111"/>
      <c r="F38" s="112"/>
      <c r="G38" s="80"/>
      <c r="H38" s="531">
        <f t="shared" si="2"/>
        <v>0</v>
      </c>
    </row>
    <row r="39" spans="1:8" ht="30.75" customHeight="1" thickBot="1" x14ac:dyDescent="0.35">
      <c r="A39" s="92" t="s">
        <v>451</v>
      </c>
      <c r="B39" s="610"/>
      <c r="C39" s="90" t="s">
        <v>1038</v>
      </c>
      <c r="D39" s="180" t="s">
        <v>42</v>
      </c>
      <c r="E39" s="180">
        <v>1</v>
      </c>
      <c r="F39" s="490">
        <v>2989</v>
      </c>
      <c r="G39" s="508">
        <v>1200</v>
      </c>
      <c r="H39" s="531">
        <f t="shared" si="2"/>
        <v>4189</v>
      </c>
    </row>
    <row r="40" spans="1:8" ht="27" customHeight="1" thickBot="1" x14ac:dyDescent="0.35">
      <c r="A40" s="92" t="s">
        <v>452</v>
      </c>
      <c r="B40" s="191"/>
      <c r="C40" s="412" t="s">
        <v>334</v>
      </c>
      <c r="D40" s="180" t="s">
        <v>42</v>
      </c>
      <c r="E40" s="180">
        <v>1</v>
      </c>
      <c r="F40" s="490">
        <v>465</v>
      </c>
      <c r="G40" s="508">
        <v>85</v>
      </c>
      <c r="H40" s="531">
        <f t="shared" si="2"/>
        <v>550</v>
      </c>
    </row>
    <row r="41" spans="1:8" ht="28.2" thickBot="1" x14ac:dyDescent="0.35">
      <c r="A41" s="92">
        <v>15.5</v>
      </c>
      <c r="B41" s="609"/>
      <c r="C41" s="570" t="s">
        <v>1039</v>
      </c>
      <c r="D41" s="111"/>
      <c r="E41" s="111"/>
      <c r="F41" s="93"/>
      <c r="G41" s="26"/>
      <c r="H41" s="45"/>
    </row>
    <row r="42" spans="1:8" ht="35.25" customHeight="1" thickBot="1" x14ac:dyDescent="0.35">
      <c r="A42" s="92" t="s">
        <v>453</v>
      </c>
      <c r="B42" s="609"/>
      <c r="C42" s="90" t="s">
        <v>540</v>
      </c>
      <c r="D42" s="180" t="s">
        <v>42</v>
      </c>
      <c r="E42" s="180">
        <v>2</v>
      </c>
      <c r="F42" s="490">
        <v>3987</v>
      </c>
      <c r="G42" s="508">
        <v>2392</v>
      </c>
      <c r="H42" s="531">
        <f>E42*(F42+G42)</f>
        <v>12758</v>
      </c>
    </row>
    <row r="43" spans="1:8" ht="31.5" customHeight="1" thickBot="1" x14ac:dyDescent="0.35">
      <c r="A43" s="92" t="s">
        <v>454</v>
      </c>
      <c r="B43" s="609"/>
      <c r="C43" s="90" t="s">
        <v>541</v>
      </c>
      <c r="D43" s="180" t="s">
        <v>42</v>
      </c>
      <c r="E43" s="832">
        <v>0</v>
      </c>
      <c r="F43" s="490">
        <v>3987</v>
      </c>
      <c r="G43" s="508">
        <v>2658</v>
      </c>
      <c r="H43" s="531">
        <f>E43*(F43+G43)</f>
        <v>0</v>
      </c>
    </row>
    <row r="44" spans="1:8" ht="33" customHeight="1" thickBot="1" x14ac:dyDescent="0.35">
      <c r="A44" s="92" t="s">
        <v>455</v>
      </c>
      <c r="B44" s="609"/>
      <c r="C44" s="90" t="s">
        <v>542</v>
      </c>
      <c r="D44" s="180" t="s">
        <v>42</v>
      </c>
      <c r="E44" s="832">
        <v>0</v>
      </c>
      <c r="F44" s="490">
        <v>3987</v>
      </c>
      <c r="G44" s="508">
        <v>2924</v>
      </c>
      <c r="H44" s="531">
        <f>E44*(F44+G44)</f>
        <v>0</v>
      </c>
    </row>
    <row r="45" spans="1:8" ht="31.5" customHeight="1" thickBot="1" x14ac:dyDescent="0.35">
      <c r="A45" s="92" t="s">
        <v>456</v>
      </c>
      <c r="B45" s="609"/>
      <c r="C45" s="27" t="s">
        <v>548</v>
      </c>
      <c r="D45" s="180" t="s">
        <v>42</v>
      </c>
      <c r="E45" s="180">
        <v>20</v>
      </c>
      <c r="F45" s="490">
        <v>4500</v>
      </c>
      <c r="G45" s="508">
        <v>2924</v>
      </c>
      <c r="H45" s="531">
        <f>E45*(F45+G45)</f>
        <v>148480</v>
      </c>
    </row>
    <row r="46" spans="1:8" ht="18.600000000000001" customHeight="1" thickBot="1" x14ac:dyDescent="0.35">
      <c r="A46" s="92">
        <v>15.6</v>
      </c>
      <c r="B46" s="609"/>
      <c r="C46" s="109" t="s">
        <v>135</v>
      </c>
      <c r="D46" s="110"/>
      <c r="E46" s="111"/>
      <c r="F46" s="93"/>
      <c r="G46" s="26"/>
      <c r="H46" s="45"/>
    </row>
    <row r="47" spans="1:8" ht="29.25" customHeight="1" thickBot="1" x14ac:dyDescent="0.35">
      <c r="A47" s="92" t="s">
        <v>457</v>
      </c>
      <c r="B47" s="609"/>
      <c r="C47" s="559" t="s">
        <v>543</v>
      </c>
      <c r="D47" s="49" t="s">
        <v>42</v>
      </c>
      <c r="E47" s="180">
        <v>2</v>
      </c>
      <c r="F47" s="490">
        <v>3375</v>
      </c>
      <c r="G47" s="508">
        <v>2025</v>
      </c>
      <c r="H47" s="531">
        <f>E47*(F47+G47)</f>
        <v>10800</v>
      </c>
    </row>
    <row r="48" spans="1:8" ht="34.200000000000003" customHeight="1" thickBot="1" x14ac:dyDescent="0.35">
      <c r="A48" s="92" t="s">
        <v>458</v>
      </c>
      <c r="B48" s="609"/>
      <c r="C48" s="27" t="s">
        <v>544</v>
      </c>
      <c r="D48" s="180" t="s">
        <v>42</v>
      </c>
      <c r="E48" s="832">
        <v>0</v>
      </c>
      <c r="F48" s="490">
        <v>3625</v>
      </c>
      <c r="G48" s="508">
        <v>2175</v>
      </c>
      <c r="H48" s="531">
        <f>E48*(F48+G48)</f>
        <v>0</v>
      </c>
    </row>
    <row r="49" spans="1:8" ht="34.200000000000003" customHeight="1" thickBot="1" x14ac:dyDescent="0.35">
      <c r="A49" s="92" t="s">
        <v>459</v>
      </c>
      <c r="B49" s="609"/>
      <c r="C49" s="90" t="s">
        <v>545</v>
      </c>
      <c r="D49" s="180" t="s">
        <v>42</v>
      </c>
      <c r="E49" s="832">
        <v>0</v>
      </c>
      <c r="F49" s="490">
        <v>3875</v>
      </c>
      <c r="G49" s="508">
        <v>2325</v>
      </c>
      <c r="H49" s="531">
        <f t="shared" ref="H49:H51" si="3">E49*(F49+G49)</f>
        <v>0</v>
      </c>
    </row>
    <row r="50" spans="1:8" ht="34.200000000000003" customHeight="1" thickBot="1" x14ac:dyDescent="0.35">
      <c r="A50" s="92" t="s">
        <v>460</v>
      </c>
      <c r="B50" s="609"/>
      <c r="C50" s="119" t="s">
        <v>1041</v>
      </c>
      <c r="D50" s="51" t="s">
        <v>42</v>
      </c>
      <c r="E50" s="180">
        <v>4</v>
      </c>
      <c r="F50" s="490">
        <v>4375</v>
      </c>
      <c r="G50" s="508">
        <v>2625</v>
      </c>
      <c r="H50" s="531">
        <f t="shared" si="3"/>
        <v>28000</v>
      </c>
    </row>
    <row r="51" spans="1:8" ht="34.200000000000003" customHeight="1" thickBot="1" x14ac:dyDescent="0.35">
      <c r="A51" s="92" t="s">
        <v>461</v>
      </c>
      <c r="B51" s="609"/>
      <c r="C51" s="108" t="s">
        <v>744</v>
      </c>
      <c r="D51" s="51" t="s">
        <v>13</v>
      </c>
      <c r="E51" s="180">
        <v>1</v>
      </c>
      <c r="F51" s="490">
        <v>58900</v>
      </c>
      <c r="G51" s="508"/>
      <c r="H51" s="531">
        <f t="shared" si="3"/>
        <v>58900</v>
      </c>
    </row>
    <row r="52" spans="1:8" ht="18.600000000000001" customHeight="1" thickBot="1" x14ac:dyDescent="0.35">
      <c r="A52" s="72" t="s">
        <v>897</v>
      </c>
      <c r="B52" s="193"/>
      <c r="C52" s="396" t="s">
        <v>902</v>
      </c>
      <c r="D52" s="110"/>
      <c r="E52" s="111"/>
      <c r="F52" s="93"/>
      <c r="G52" s="26"/>
      <c r="H52" s="127"/>
    </row>
    <row r="53" spans="1:8" ht="18.600000000000001" customHeight="1" thickBot="1" x14ac:dyDescent="0.35">
      <c r="A53" s="72" t="s">
        <v>898</v>
      </c>
      <c r="B53" s="193"/>
      <c r="C53" s="396" t="s">
        <v>899</v>
      </c>
      <c r="D53" s="110"/>
      <c r="E53" s="111"/>
      <c r="F53" s="93"/>
      <c r="G53" s="26"/>
      <c r="H53" s="127"/>
    </row>
    <row r="54" spans="1:8" ht="34.200000000000003" customHeight="1" thickBot="1" x14ac:dyDescent="0.35">
      <c r="A54" s="72" t="s">
        <v>901</v>
      </c>
      <c r="B54" s="193"/>
      <c r="C54" s="74" t="s">
        <v>903</v>
      </c>
      <c r="D54" s="49" t="s">
        <v>36</v>
      </c>
      <c r="E54" s="49">
        <v>200</v>
      </c>
      <c r="F54" s="493">
        <v>80</v>
      </c>
      <c r="G54" s="496">
        <f>0.3*F54</f>
        <v>24</v>
      </c>
      <c r="H54" s="531">
        <f>E54*(F54+G54)</f>
        <v>20800</v>
      </c>
    </row>
    <row r="55" spans="1:8" ht="34.200000000000003" customHeight="1" thickBot="1" x14ac:dyDescent="0.35">
      <c r="A55" s="72" t="s">
        <v>904</v>
      </c>
      <c r="B55" s="193"/>
      <c r="C55" s="74" t="s">
        <v>905</v>
      </c>
      <c r="D55" s="49" t="s">
        <v>36</v>
      </c>
      <c r="E55" s="49">
        <v>200</v>
      </c>
      <c r="F55" s="493">
        <v>22.4</v>
      </c>
      <c r="G55" s="496">
        <f>0.3*F55</f>
        <v>6.72</v>
      </c>
      <c r="H55" s="531">
        <f>E55*(F55+G55)</f>
        <v>5823.9999999999991</v>
      </c>
    </row>
    <row r="56" spans="1:8" ht="34.200000000000003" customHeight="1" thickBot="1" x14ac:dyDescent="0.35">
      <c r="A56" s="72" t="s">
        <v>906</v>
      </c>
      <c r="B56" s="193"/>
      <c r="C56" s="74" t="s">
        <v>907</v>
      </c>
      <c r="D56" s="49" t="s">
        <v>36</v>
      </c>
      <c r="E56" s="49">
        <v>200</v>
      </c>
      <c r="F56" s="493">
        <v>30</v>
      </c>
      <c r="G56" s="496">
        <f>0.3*F56</f>
        <v>9</v>
      </c>
      <c r="H56" s="531">
        <f t="shared" ref="H56" si="4">E56*(F56+G56)</f>
        <v>7800</v>
      </c>
    </row>
    <row r="57" spans="1:8" ht="18.600000000000001" customHeight="1" thickBot="1" x14ac:dyDescent="0.35">
      <c r="A57" s="72" t="s">
        <v>900</v>
      </c>
      <c r="B57" s="193"/>
      <c r="C57" s="396" t="s">
        <v>996</v>
      </c>
      <c r="D57" s="110"/>
      <c r="E57" s="111"/>
      <c r="F57" s="93"/>
      <c r="G57" s="26"/>
      <c r="H57" s="127"/>
    </row>
    <row r="58" spans="1:8" ht="34.200000000000003" customHeight="1" thickBot="1" x14ac:dyDescent="0.35">
      <c r="A58" s="72" t="s">
        <v>909</v>
      </c>
      <c r="B58" s="193"/>
      <c r="C58" s="74" t="s">
        <v>907</v>
      </c>
      <c r="D58" s="49" t="s">
        <v>36</v>
      </c>
      <c r="E58" s="49">
        <v>200</v>
      </c>
      <c r="F58" s="493">
        <v>30</v>
      </c>
      <c r="G58" s="496">
        <f>0.3*F58</f>
        <v>9</v>
      </c>
      <c r="H58" s="531">
        <f>E58*(F58+G58)</f>
        <v>7800</v>
      </c>
    </row>
    <row r="59" spans="1:8" ht="35.549999999999997" customHeight="1" thickBot="1" x14ac:dyDescent="0.35">
      <c r="A59" s="1082" t="s">
        <v>123</v>
      </c>
      <c r="B59" s="1083"/>
      <c r="C59" s="1083"/>
      <c r="D59" s="1083"/>
      <c r="E59" s="1083"/>
      <c r="F59" s="1083"/>
      <c r="G59" s="1084"/>
      <c r="H59" s="537">
        <f>SUM(H30:H58)</f>
        <v>5823002</v>
      </c>
    </row>
    <row r="60" spans="1:8" ht="15" customHeight="1" thickBot="1" x14ac:dyDescent="0.35">
      <c r="A60" s="106" t="s">
        <v>37</v>
      </c>
      <c r="B60" s="1085" t="s">
        <v>1</v>
      </c>
      <c r="C60" s="892" t="s">
        <v>2</v>
      </c>
      <c r="D60" s="882" t="s">
        <v>3</v>
      </c>
      <c r="E60" s="882" t="s">
        <v>4</v>
      </c>
      <c r="F60" s="886" t="s">
        <v>5</v>
      </c>
      <c r="G60" s="887"/>
      <c r="H60" s="882" t="s">
        <v>988</v>
      </c>
    </row>
    <row r="61" spans="1:8" ht="15" customHeight="1" thickBot="1" x14ac:dyDescent="0.35">
      <c r="A61" s="107" t="s">
        <v>38</v>
      </c>
      <c r="B61" s="1086"/>
      <c r="C61" s="893"/>
      <c r="D61" s="883"/>
      <c r="E61" s="883"/>
      <c r="F61" s="146" t="s">
        <v>7</v>
      </c>
      <c r="G61" s="146" t="s">
        <v>8</v>
      </c>
      <c r="H61" s="883"/>
    </row>
    <row r="62" spans="1:8" ht="35.549999999999997" customHeight="1" thickBot="1" x14ac:dyDescent="0.35">
      <c r="A62" s="1082" t="s">
        <v>566</v>
      </c>
      <c r="B62" s="1083"/>
      <c r="C62" s="1083"/>
      <c r="D62" s="1083"/>
      <c r="E62" s="1083"/>
      <c r="F62" s="1083"/>
      <c r="G62" s="1084"/>
      <c r="H62" s="537">
        <f>H59</f>
        <v>5823002</v>
      </c>
    </row>
    <row r="63" spans="1:8" ht="34.200000000000003" customHeight="1" thickBot="1" x14ac:dyDescent="0.35">
      <c r="A63" s="72" t="s">
        <v>908</v>
      </c>
      <c r="B63" s="193"/>
      <c r="C63" s="396" t="s">
        <v>921</v>
      </c>
      <c r="D63" s="49"/>
      <c r="E63" s="49"/>
      <c r="F63" s="77"/>
      <c r="G63" s="73"/>
      <c r="H63" s="127"/>
    </row>
    <row r="64" spans="1:8" ht="34.200000000000003" customHeight="1" thickBot="1" x14ac:dyDescent="0.35">
      <c r="A64" s="72" t="s">
        <v>910</v>
      </c>
      <c r="B64" s="193"/>
      <c r="C64" s="74" t="s">
        <v>903</v>
      </c>
      <c r="D64" s="49" t="s">
        <v>36</v>
      </c>
      <c r="E64" s="49">
        <v>150</v>
      </c>
      <c r="F64" s="493">
        <v>80</v>
      </c>
      <c r="G64" s="496">
        <f>0.3*F64</f>
        <v>24</v>
      </c>
      <c r="H64" s="531">
        <f>E64*(F64+G64)</f>
        <v>15600</v>
      </c>
    </row>
    <row r="65" spans="1:8" ht="34.200000000000003" customHeight="1" thickBot="1" x14ac:dyDescent="0.35">
      <c r="A65" s="72" t="s">
        <v>911</v>
      </c>
      <c r="B65" s="193"/>
      <c r="C65" s="74" t="s">
        <v>905</v>
      </c>
      <c r="D65" s="49" t="s">
        <v>36</v>
      </c>
      <c r="E65" s="49">
        <v>150</v>
      </c>
      <c r="F65" s="493">
        <v>22</v>
      </c>
      <c r="G65" s="496">
        <f>0.3*F65</f>
        <v>6.6</v>
      </c>
      <c r="H65" s="531">
        <f>E65*(F65+G65)</f>
        <v>4290</v>
      </c>
    </row>
    <row r="66" spans="1:8" ht="34.200000000000003" customHeight="1" thickBot="1" x14ac:dyDescent="0.35">
      <c r="A66" s="72" t="s">
        <v>912</v>
      </c>
      <c r="B66" s="193"/>
      <c r="C66" s="74" t="s">
        <v>907</v>
      </c>
      <c r="D66" s="49" t="s">
        <v>36</v>
      </c>
      <c r="E66" s="49">
        <v>150</v>
      </c>
      <c r="F66" s="493">
        <v>30</v>
      </c>
      <c r="G66" s="496">
        <f t="shared" ref="G66:G72" si="5">0.3*F66</f>
        <v>9</v>
      </c>
      <c r="H66" s="531">
        <f t="shared" ref="H66" si="6">E66*(F66+G66)</f>
        <v>5850</v>
      </c>
    </row>
    <row r="67" spans="1:8" ht="18.600000000000001" customHeight="1" thickBot="1" x14ac:dyDescent="0.35">
      <c r="A67" s="72" t="s">
        <v>913</v>
      </c>
      <c r="B67" s="193"/>
      <c r="C67" s="396" t="s">
        <v>915</v>
      </c>
      <c r="D67" s="110"/>
      <c r="E67" s="111"/>
      <c r="F67" s="538"/>
      <c r="G67" s="526"/>
      <c r="H67" s="530"/>
    </row>
    <row r="68" spans="1:8" ht="34.200000000000003" customHeight="1" thickBot="1" x14ac:dyDescent="0.35">
      <c r="A68" s="72" t="s">
        <v>914</v>
      </c>
      <c r="B68" s="193"/>
      <c r="C68" s="74" t="s">
        <v>905</v>
      </c>
      <c r="D68" s="49" t="s">
        <v>36</v>
      </c>
      <c r="E68" s="49">
        <v>150</v>
      </c>
      <c r="F68" s="493">
        <v>22</v>
      </c>
      <c r="G68" s="496">
        <f t="shared" si="5"/>
        <v>6.6</v>
      </c>
      <c r="H68" s="531">
        <f t="shared" ref="H68" si="7">E68*(F68+G68)</f>
        <v>4290</v>
      </c>
    </row>
    <row r="69" spans="1:8" ht="34.200000000000003" customHeight="1" thickBot="1" x14ac:dyDescent="0.35">
      <c r="A69" s="72" t="s">
        <v>916</v>
      </c>
      <c r="B69" s="193"/>
      <c r="C69" s="396" t="s">
        <v>995</v>
      </c>
      <c r="D69" s="49"/>
      <c r="E69" s="49"/>
      <c r="F69" s="77"/>
      <c r="G69" s="73"/>
      <c r="H69" s="127"/>
    </row>
    <row r="70" spans="1:8" ht="34.200000000000003" customHeight="1" thickBot="1" x14ac:dyDescent="0.35">
      <c r="A70" s="72" t="s">
        <v>917</v>
      </c>
      <c r="B70" s="193"/>
      <c r="C70" s="74" t="s">
        <v>905</v>
      </c>
      <c r="D70" s="49" t="s">
        <v>36</v>
      </c>
      <c r="E70" s="49">
        <v>150</v>
      </c>
      <c r="F70" s="493">
        <v>22</v>
      </c>
      <c r="G70" s="496">
        <f t="shared" si="5"/>
        <v>6.6</v>
      </c>
      <c r="H70" s="531">
        <f t="shared" ref="H70" si="8">E70*(F70+G70)</f>
        <v>4290</v>
      </c>
    </row>
    <row r="71" spans="1:8" ht="18.600000000000001" customHeight="1" thickBot="1" x14ac:dyDescent="0.35">
      <c r="A71" s="72" t="s">
        <v>918</v>
      </c>
      <c r="B71" s="193"/>
      <c r="C71" s="396" t="s">
        <v>994</v>
      </c>
      <c r="D71" s="110"/>
      <c r="E71" s="111"/>
      <c r="F71" s="93"/>
      <c r="G71" s="26"/>
      <c r="H71" s="127"/>
    </row>
    <row r="72" spans="1:8" ht="34.200000000000003" customHeight="1" thickBot="1" x14ac:dyDescent="0.35">
      <c r="A72" s="72" t="s">
        <v>919</v>
      </c>
      <c r="B72" s="193"/>
      <c r="C72" s="74" t="s">
        <v>920</v>
      </c>
      <c r="D72" s="49" t="s">
        <v>36</v>
      </c>
      <c r="E72" s="49">
        <v>150</v>
      </c>
      <c r="F72" s="493">
        <v>58.7</v>
      </c>
      <c r="G72" s="496">
        <f t="shared" si="5"/>
        <v>17.61</v>
      </c>
      <c r="H72" s="531">
        <f t="shared" ref="H72" si="9">E72*(F72+G72)</f>
        <v>11446.5</v>
      </c>
    </row>
    <row r="73" spans="1:8" ht="35.549999999999997" customHeight="1" thickBot="1" x14ac:dyDescent="0.35">
      <c r="A73" s="983" t="s">
        <v>562</v>
      </c>
      <c r="B73" s="984"/>
      <c r="C73" s="984"/>
      <c r="D73" s="984"/>
      <c r="E73" s="984"/>
      <c r="F73" s="28"/>
      <c r="G73" s="208"/>
      <c r="H73" s="865"/>
    </row>
  </sheetData>
  <mergeCells count="30">
    <mergeCell ref="H2:H3"/>
    <mergeCell ref="B60:B61"/>
    <mergeCell ref="B2:B3"/>
    <mergeCell ref="C2:C3"/>
    <mergeCell ref="D2:D3"/>
    <mergeCell ref="E2:E3"/>
    <mergeCell ref="F2:G2"/>
    <mergeCell ref="F28:G28"/>
    <mergeCell ref="C60:C61"/>
    <mergeCell ref="H6:H7"/>
    <mergeCell ref="H60:H61"/>
    <mergeCell ref="B28:B29"/>
    <mergeCell ref="H28:H29"/>
    <mergeCell ref="A27:G27"/>
    <mergeCell ref="A73:E73"/>
    <mergeCell ref="A6:A7"/>
    <mergeCell ref="B6:B7"/>
    <mergeCell ref="D6:D7"/>
    <mergeCell ref="E6:E7"/>
    <mergeCell ref="D28:D29"/>
    <mergeCell ref="E28:E29"/>
    <mergeCell ref="A30:G30"/>
    <mergeCell ref="A59:G59"/>
    <mergeCell ref="A62:G62"/>
    <mergeCell ref="E60:E61"/>
    <mergeCell ref="F60:G60"/>
    <mergeCell ref="C28:C29"/>
    <mergeCell ref="D60:D61"/>
    <mergeCell ref="F6:F7"/>
    <mergeCell ref="G6:G7"/>
  </mergeCells>
  <phoneticPr fontId="19" type="noConversion"/>
  <pageMargins left="0.70866141732283472" right="0.70866141732283472" top="0.74803149606299213" bottom="0.74803149606299213" header="0.31496062992125984" footer="0.31496062992125984"/>
  <pageSetup paperSize="9" scale="69" fitToHeight="0" orientation="portrait" r:id="rId1"/>
  <rowBreaks count="2" manualBreakCount="2">
    <brk id="27" max="7" man="1"/>
    <brk id="59" max="7"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I20"/>
  <sheetViews>
    <sheetView view="pageBreakPreview" zoomScale="96" zoomScaleNormal="100" zoomScaleSheetLayoutView="96" workbookViewId="0">
      <selection activeCell="H20" sqref="H20"/>
    </sheetView>
  </sheetViews>
  <sheetFormatPr defaultRowHeight="14.4" x14ac:dyDescent="0.3"/>
  <cols>
    <col min="1" max="1" width="9.109375" style="132" customWidth="1"/>
    <col min="2" max="2" width="8.6640625" customWidth="1"/>
    <col min="3" max="3" width="26.109375" customWidth="1"/>
    <col min="4" max="4" width="9.109375" customWidth="1"/>
    <col min="5" max="5" width="7.44140625" customWidth="1"/>
    <col min="6" max="6" width="9.5546875" customWidth="1"/>
    <col min="7" max="7" width="11.109375" customWidth="1"/>
    <col min="8" max="8" width="36.33203125" customWidth="1"/>
  </cols>
  <sheetData>
    <row r="1" spans="1:8" ht="15" thickBot="1" x14ac:dyDescent="0.35">
      <c r="A1" s="133"/>
    </row>
    <row r="2" spans="1:8" ht="32.25" customHeight="1" thickBot="1" x14ac:dyDescent="0.35">
      <c r="A2" s="211" t="s">
        <v>565</v>
      </c>
      <c r="B2" s="184" t="s">
        <v>1</v>
      </c>
      <c r="C2" s="211" t="s">
        <v>2</v>
      </c>
      <c r="D2" s="184" t="s">
        <v>3</v>
      </c>
      <c r="E2" s="184" t="s">
        <v>4</v>
      </c>
      <c r="F2" s="1094" t="s">
        <v>5</v>
      </c>
      <c r="G2" s="1095"/>
      <c r="H2" s="184" t="s">
        <v>6</v>
      </c>
    </row>
    <row r="3" spans="1:8" ht="15" thickBot="1" x14ac:dyDescent="0.35">
      <c r="A3" s="134"/>
      <c r="B3" s="213"/>
      <c r="C3" s="134"/>
      <c r="D3" s="214"/>
      <c r="E3" s="214"/>
      <c r="F3" s="212" t="s">
        <v>7</v>
      </c>
      <c r="G3" s="212" t="s">
        <v>8</v>
      </c>
      <c r="H3" s="213"/>
    </row>
    <row r="4" spans="1:8" ht="36" customHeight="1" thickBot="1" x14ac:dyDescent="0.35">
      <c r="A4" s="9"/>
      <c r="B4" s="9"/>
      <c r="C4" s="59" t="s">
        <v>462</v>
      </c>
      <c r="D4" s="1091"/>
      <c r="E4" s="1091"/>
      <c r="F4" s="1091"/>
      <c r="G4" s="985"/>
      <c r="H4" s="985"/>
    </row>
    <row r="5" spans="1:8" ht="28.2" thickBot="1" x14ac:dyDescent="0.35">
      <c r="A5" s="149">
        <v>16</v>
      </c>
      <c r="B5" s="128"/>
      <c r="C5" s="468" t="s">
        <v>277</v>
      </c>
      <c r="D5" s="1092"/>
      <c r="E5" s="1092"/>
      <c r="F5" s="1092"/>
      <c r="G5" s="1093"/>
      <c r="H5" s="1093"/>
    </row>
    <row r="6" spans="1:8" ht="15" customHeight="1" x14ac:dyDescent="0.3">
      <c r="A6" s="1061">
        <v>16.100000000000001</v>
      </c>
      <c r="B6" s="1103"/>
      <c r="C6" s="469" t="s">
        <v>67</v>
      </c>
      <c r="D6" s="1061" t="s">
        <v>36</v>
      </c>
      <c r="E6" s="1061">
        <v>399</v>
      </c>
      <c r="F6" s="966">
        <v>295.95</v>
      </c>
      <c r="G6" s="966">
        <v>76</v>
      </c>
      <c r="H6" s="1098">
        <f>E6*(F6+G6)</f>
        <v>148408.04999999999</v>
      </c>
    </row>
    <row r="7" spans="1:8" ht="29.4" customHeight="1" thickBot="1" x14ac:dyDescent="0.35">
      <c r="A7" s="1062"/>
      <c r="B7" s="1104"/>
      <c r="C7" s="470" t="s">
        <v>276</v>
      </c>
      <c r="D7" s="1062"/>
      <c r="E7" s="1062"/>
      <c r="F7" s="967"/>
      <c r="G7" s="967"/>
      <c r="H7" s="1099"/>
    </row>
    <row r="8" spans="1:8" ht="15.75" hidden="1" customHeight="1" thickBot="1" x14ac:dyDescent="0.35">
      <c r="A8" s="154"/>
      <c r="B8" s="196"/>
      <c r="C8" s="452"/>
      <c r="D8" s="186"/>
      <c r="E8" s="186"/>
      <c r="F8" s="539"/>
      <c r="G8" s="540"/>
      <c r="H8" s="540"/>
    </row>
    <row r="9" spans="1:8" ht="33" customHeight="1" x14ac:dyDescent="0.3">
      <c r="A9" s="1061" t="s">
        <v>463</v>
      </c>
      <c r="B9" s="1103" t="s">
        <v>68</v>
      </c>
      <c r="C9" s="1105" t="s">
        <v>69</v>
      </c>
      <c r="D9" s="1061" t="s">
        <v>36</v>
      </c>
      <c r="E9" s="1061">
        <v>100</v>
      </c>
      <c r="F9" s="1100" t="s">
        <v>745</v>
      </c>
      <c r="G9" s="1017">
        <v>65.56</v>
      </c>
      <c r="H9" s="1017">
        <f>SUM(F9:G10)*E9</f>
        <v>6556</v>
      </c>
    </row>
    <row r="10" spans="1:8" ht="15.75" customHeight="1" thickBot="1" x14ac:dyDescent="0.35">
      <c r="A10" s="1062"/>
      <c r="B10" s="1104"/>
      <c r="C10" s="1106"/>
      <c r="D10" s="1062"/>
      <c r="E10" s="1062"/>
      <c r="F10" s="1101"/>
      <c r="G10" s="1018"/>
      <c r="H10" s="1018"/>
    </row>
    <row r="11" spans="1:8" ht="36" customHeight="1" thickBot="1" x14ac:dyDescent="0.35">
      <c r="A11" s="153" t="s">
        <v>464</v>
      </c>
      <c r="B11" s="196"/>
      <c r="C11" s="471" t="s">
        <v>384</v>
      </c>
      <c r="D11" s="186" t="s">
        <v>36</v>
      </c>
      <c r="E11" s="186">
        <v>648</v>
      </c>
      <c r="F11" s="541">
        <v>345</v>
      </c>
      <c r="G11" s="520">
        <v>65.56</v>
      </c>
      <c r="H11" s="540">
        <f>E11*(F11+G11)</f>
        <v>266042.88</v>
      </c>
    </row>
    <row r="12" spans="1:8" ht="39" customHeight="1" thickBot="1" x14ac:dyDescent="0.35">
      <c r="A12" s="153" t="s">
        <v>465</v>
      </c>
      <c r="B12" s="196" t="s">
        <v>68</v>
      </c>
      <c r="C12" s="470" t="s">
        <v>70</v>
      </c>
      <c r="D12" s="186" t="s">
        <v>36</v>
      </c>
      <c r="E12" s="186">
        <v>121</v>
      </c>
      <c r="F12" s="519">
        <v>92</v>
      </c>
      <c r="G12" s="520">
        <v>54</v>
      </c>
      <c r="H12" s="540">
        <f>SUM(F12:G12)*E12</f>
        <v>17666</v>
      </c>
    </row>
    <row r="13" spans="1:8" ht="12.75" customHeight="1" thickBot="1" x14ac:dyDescent="0.35">
      <c r="A13" s="120">
        <v>16.2</v>
      </c>
      <c r="B13" s="197" t="s">
        <v>71</v>
      </c>
      <c r="C13" s="472" t="s">
        <v>72</v>
      </c>
      <c r="D13" s="136"/>
      <c r="E13" s="136"/>
      <c r="F13" s="518"/>
      <c r="G13" s="518"/>
      <c r="H13" s="1096">
        <f>SUM(F13:G14)*E14</f>
        <v>11689</v>
      </c>
    </row>
    <row r="14" spans="1:8" ht="32.25" customHeight="1" thickBot="1" x14ac:dyDescent="0.35">
      <c r="A14" s="154" t="s">
        <v>466</v>
      </c>
      <c r="B14" s="196"/>
      <c r="C14" s="470" t="s">
        <v>73</v>
      </c>
      <c r="D14" s="186" t="s">
        <v>42</v>
      </c>
      <c r="E14" s="186">
        <v>50</v>
      </c>
      <c r="F14" s="540">
        <v>179.78</v>
      </c>
      <c r="G14" s="540">
        <v>54</v>
      </c>
      <c r="H14" s="1097"/>
    </row>
    <row r="15" spans="1:8" ht="17.25" customHeight="1" x14ac:dyDescent="0.3">
      <c r="A15" s="888">
        <v>16.3</v>
      </c>
      <c r="B15" s="1103"/>
      <c r="C15" s="1087" t="s">
        <v>74</v>
      </c>
      <c r="D15" s="1089"/>
      <c r="E15" s="1089"/>
      <c r="F15" s="1091"/>
      <c r="G15" s="985"/>
      <c r="H15" s="987"/>
    </row>
    <row r="16" spans="1:8" ht="15" thickBot="1" x14ac:dyDescent="0.35">
      <c r="A16" s="889"/>
      <c r="B16" s="1104"/>
      <c r="C16" s="1088"/>
      <c r="D16" s="1090"/>
      <c r="E16" s="1090"/>
      <c r="F16" s="1092"/>
      <c r="G16" s="1093"/>
      <c r="H16" s="1102"/>
    </row>
    <row r="17" spans="1:9" ht="31.65" customHeight="1" thickBot="1" x14ac:dyDescent="0.35">
      <c r="A17" s="124" t="s">
        <v>467</v>
      </c>
      <c r="B17" s="196" t="s">
        <v>75</v>
      </c>
      <c r="C17" s="471" t="s">
        <v>76</v>
      </c>
      <c r="D17" s="186" t="s">
        <v>42</v>
      </c>
      <c r="E17" s="186">
        <v>1</v>
      </c>
      <c r="F17" s="541">
        <v>12795.09</v>
      </c>
      <c r="G17" s="520">
        <v>2563</v>
      </c>
      <c r="H17" s="540">
        <f>SUM(F17:G17)*E17</f>
        <v>15358.09</v>
      </c>
    </row>
    <row r="18" spans="1:9" ht="14.25" customHeight="1" thickBot="1" x14ac:dyDescent="0.35">
      <c r="A18" s="135">
        <v>16.399999999999999</v>
      </c>
      <c r="B18" s="196"/>
      <c r="C18" s="473" t="s">
        <v>77</v>
      </c>
      <c r="D18" s="186"/>
      <c r="E18" s="186"/>
      <c r="F18" s="39"/>
      <c r="G18" s="40"/>
      <c r="H18" s="176"/>
    </row>
    <row r="19" spans="1:9" ht="31.65" customHeight="1" thickBot="1" x14ac:dyDescent="0.35">
      <c r="A19" s="124" t="s">
        <v>468</v>
      </c>
      <c r="B19" s="196" t="s">
        <v>78</v>
      </c>
      <c r="C19" s="470" t="s">
        <v>77</v>
      </c>
      <c r="D19" s="186" t="s">
        <v>42</v>
      </c>
      <c r="E19" s="186">
        <v>32</v>
      </c>
      <c r="F19" s="541">
        <v>265.94</v>
      </c>
      <c r="G19" s="520">
        <v>265.94</v>
      </c>
      <c r="H19" s="540">
        <f>SUM(F19:G19)*E19</f>
        <v>17020.16</v>
      </c>
    </row>
    <row r="20" spans="1:9" s="209" customFormat="1" ht="35.549999999999997" customHeight="1" thickBot="1" x14ac:dyDescent="0.35">
      <c r="A20" s="983" t="s">
        <v>563</v>
      </c>
      <c r="B20" s="984"/>
      <c r="C20" s="984"/>
      <c r="D20" s="984"/>
      <c r="E20" s="984"/>
      <c r="F20" s="542"/>
      <c r="G20" s="543"/>
      <c r="H20" s="497"/>
      <c r="I20" s="209" t="s">
        <v>82</v>
      </c>
    </row>
  </sheetData>
  <mergeCells count="31">
    <mergeCell ref="A20:E20"/>
    <mergeCell ref="A15:A16"/>
    <mergeCell ref="F6:F7"/>
    <mergeCell ref="H15:H16"/>
    <mergeCell ref="E4:E5"/>
    <mergeCell ref="B15:B16"/>
    <mergeCell ref="A9:A10"/>
    <mergeCell ref="B9:B10"/>
    <mergeCell ref="C9:C10"/>
    <mergeCell ref="D9:D10"/>
    <mergeCell ref="A6:A7"/>
    <mergeCell ref="B6:B7"/>
    <mergeCell ref="D6:D7"/>
    <mergeCell ref="E6:E7"/>
    <mergeCell ref="D4:D5"/>
    <mergeCell ref="D15:D16"/>
    <mergeCell ref="F2:G2"/>
    <mergeCell ref="H13:H14"/>
    <mergeCell ref="G9:G10"/>
    <mergeCell ref="H9:H10"/>
    <mergeCell ref="H4:H5"/>
    <mergeCell ref="G6:G7"/>
    <mergeCell ref="H6:H7"/>
    <mergeCell ref="F9:F10"/>
    <mergeCell ref="F4:F5"/>
    <mergeCell ref="G4:G5"/>
    <mergeCell ref="C15:C16"/>
    <mergeCell ref="E15:E16"/>
    <mergeCell ref="F15:F16"/>
    <mergeCell ref="G15:G16"/>
    <mergeCell ref="E9:E10"/>
  </mergeCells>
  <pageMargins left="0.70866141732283472" right="0.70866141732283472" top="0.74803149606299213" bottom="0.74803149606299213" header="0.31496062992125984" footer="0.31496062992125984"/>
  <pageSetup paperSize="9" scale="74" fitToHeight="0"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H44"/>
  <sheetViews>
    <sheetView view="pageBreakPreview" topLeftCell="A29" zoomScale="85" zoomScaleNormal="100" zoomScaleSheetLayoutView="85" workbookViewId="0">
      <selection activeCell="H42" sqref="H42"/>
    </sheetView>
  </sheetViews>
  <sheetFormatPr defaultRowHeight="14.4" x14ac:dyDescent="0.3"/>
  <cols>
    <col min="1" max="1" width="8.88671875" style="474"/>
    <col min="3" max="3" width="30.6640625" customWidth="1"/>
    <col min="5" max="5" width="8.109375" style="389" customWidth="1"/>
    <col min="6" max="7" width="16.44140625" customWidth="1"/>
    <col min="8" max="8" width="36.33203125" customWidth="1"/>
    <col min="15" max="15" width="11.109375" customWidth="1"/>
    <col min="16" max="16" width="13.77734375" customWidth="1"/>
  </cols>
  <sheetData>
    <row r="1" spans="1:8" ht="15" thickBot="1" x14ac:dyDescent="0.35">
      <c r="B1" s="419"/>
      <c r="C1" s="419"/>
      <c r="D1" s="419"/>
      <c r="E1" s="858"/>
      <c r="F1" s="419"/>
      <c r="G1" s="419"/>
      <c r="H1" s="419"/>
    </row>
    <row r="2" spans="1:8" ht="17.25" customHeight="1" thickBot="1" x14ac:dyDescent="0.35">
      <c r="A2" s="106" t="s">
        <v>37</v>
      </c>
      <c r="B2" s="882" t="s">
        <v>1</v>
      </c>
      <c r="C2" s="892" t="s">
        <v>2</v>
      </c>
      <c r="D2" s="882" t="s">
        <v>3</v>
      </c>
      <c r="E2" s="1085" t="s">
        <v>4</v>
      </c>
      <c r="F2" s="886" t="s">
        <v>5</v>
      </c>
      <c r="G2" s="887"/>
      <c r="H2" s="418" t="s">
        <v>6</v>
      </c>
    </row>
    <row r="3" spans="1:8" ht="17.25" customHeight="1" thickBot="1" x14ac:dyDescent="0.35">
      <c r="A3" s="402" t="s">
        <v>38</v>
      </c>
      <c r="B3" s="1108"/>
      <c r="C3" s="1109"/>
      <c r="D3" s="883"/>
      <c r="E3" s="1110"/>
      <c r="F3" s="416" t="s">
        <v>7</v>
      </c>
      <c r="G3" s="483" t="s">
        <v>8</v>
      </c>
      <c r="H3" s="475"/>
    </row>
    <row r="4" spans="1:8" ht="26.4" customHeight="1" thickBot="1" x14ac:dyDescent="0.35">
      <c r="A4" s="486"/>
      <c r="B4" s="486"/>
      <c r="C4" s="486" t="s">
        <v>469</v>
      </c>
      <c r="D4" s="146"/>
      <c r="E4" s="859"/>
      <c r="F4" s="146"/>
      <c r="G4" s="484"/>
      <c r="H4" s="485"/>
    </row>
    <row r="5" spans="1:8" ht="39" customHeight="1" thickBot="1" x14ac:dyDescent="0.35">
      <c r="A5" s="486">
        <v>17</v>
      </c>
      <c r="B5" s="476"/>
      <c r="C5" s="487" t="s">
        <v>65</v>
      </c>
      <c r="D5" s="146"/>
      <c r="E5" s="859"/>
      <c r="F5" s="477"/>
      <c r="G5" s="477"/>
      <c r="H5" s="477"/>
    </row>
    <row r="6" spans="1:8" ht="21" customHeight="1" thickBot="1" x14ac:dyDescent="0.35">
      <c r="A6" s="478">
        <v>17.100000000000001</v>
      </c>
      <c r="B6" s="479"/>
      <c r="C6" s="480" t="s">
        <v>66</v>
      </c>
      <c r="D6" s="481"/>
      <c r="E6" s="860"/>
      <c r="F6" s="482"/>
      <c r="G6" s="482"/>
      <c r="H6" s="481"/>
    </row>
    <row r="7" spans="1:8" ht="31.5" customHeight="1" thickBot="1" x14ac:dyDescent="0.35">
      <c r="A7" s="12" t="s">
        <v>470</v>
      </c>
      <c r="B7" s="197" t="s">
        <v>335</v>
      </c>
      <c r="C7" s="10" t="s">
        <v>1111</v>
      </c>
      <c r="D7" s="49" t="s">
        <v>57</v>
      </c>
      <c r="E7" s="49">
        <v>60</v>
      </c>
      <c r="F7" s="496">
        <v>950</v>
      </c>
      <c r="G7" s="496">
        <v>398</v>
      </c>
      <c r="H7" s="544">
        <f t="shared" ref="H7:H31" si="0">E7*(F7+G7)</f>
        <v>80880</v>
      </c>
    </row>
    <row r="8" spans="1:8" ht="31.5" customHeight="1" thickBot="1" x14ac:dyDescent="0.35">
      <c r="A8" s="12" t="s">
        <v>471</v>
      </c>
      <c r="B8" s="197" t="s">
        <v>336</v>
      </c>
      <c r="C8" s="10" t="s">
        <v>1113</v>
      </c>
      <c r="D8" s="478" t="s">
        <v>57</v>
      </c>
      <c r="E8" s="49">
        <v>30</v>
      </c>
      <c r="F8" s="530">
        <v>550</v>
      </c>
      <c r="G8" s="496">
        <v>230</v>
      </c>
      <c r="H8" s="544">
        <f t="shared" si="0"/>
        <v>23400</v>
      </c>
    </row>
    <row r="9" spans="1:8" ht="31.5" customHeight="1" thickBot="1" x14ac:dyDescent="0.35">
      <c r="A9" s="12" t="s">
        <v>472</v>
      </c>
      <c r="B9" s="197" t="s">
        <v>337</v>
      </c>
      <c r="C9" s="10" t="s">
        <v>1112</v>
      </c>
      <c r="D9" s="49" t="s">
        <v>57</v>
      </c>
      <c r="E9" s="49">
        <v>12</v>
      </c>
      <c r="F9" s="530">
        <v>490</v>
      </c>
      <c r="G9" s="530">
        <v>230</v>
      </c>
      <c r="H9" s="544">
        <f t="shared" si="0"/>
        <v>8640</v>
      </c>
    </row>
    <row r="10" spans="1:8" ht="31.5" customHeight="1" thickBot="1" x14ac:dyDescent="0.35">
      <c r="A10" s="12" t="s">
        <v>473</v>
      </c>
      <c r="B10" s="197" t="s">
        <v>338</v>
      </c>
      <c r="C10" s="10" t="s">
        <v>1114</v>
      </c>
      <c r="D10" s="49" t="s">
        <v>57</v>
      </c>
      <c r="E10" s="49">
        <v>6</v>
      </c>
      <c r="F10" s="530">
        <v>464</v>
      </c>
      <c r="G10" s="530">
        <v>230</v>
      </c>
      <c r="H10" s="544">
        <f t="shared" si="0"/>
        <v>4164</v>
      </c>
    </row>
    <row r="11" spans="1:8" ht="31.5" customHeight="1" thickBot="1" x14ac:dyDescent="0.35">
      <c r="A11" s="12" t="s">
        <v>474</v>
      </c>
      <c r="B11" s="197" t="s">
        <v>339</v>
      </c>
      <c r="C11" s="10" t="s">
        <v>1119</v>
      </c>
      <c r="D11" s="49" t="s">
        <v>57</v>
      </c>
      <c r="E11" s="49">
        <v>6</v>
      </c>
      <c r="F11" s="530">
        <v>450</v>
      </c>
      <c r="G11" s="530">
        <v>230</v>
      </c>
      <c r="H11" s="544">
        <f t="shared" si="0"/>
        <v>4080</v>
      </c>
    </row>
    <row r="12" spans="1:8" ht="31.5" customHeight="1" thickBot="1" x14ac:dyDescent="0.35">
      <c r="A12" s="12" t="s">
        <v>475</v>
      </c>
      <c r="B12" s="197" t="s">
        <v>340</v>
      </c>
      <c r="C12" s="10" t="s">
        <v>1115</v>
      </c>
      <c r="D12" s="49" t="s">
        <v>57</v>
      </c>
      <c r="E12" s="49">
        <v>12</v>
      </c>
      <c r="F12" s="530">
        <v>550</v>
      </c>
      <c r="G12" s="530">
        <v>230</v>
      </c>
      <c r="H12" s="544">
        <f t="shared" si="0"/>
        <v>9360</v>
      </c>
    </row>
    <row r="13" spans="1:8" ht="31.5" customHeight="1" thickBot="1" x14ac:dyDescent="0.35">
      <c r="A13" s="12" t="s">
        <v>476</v>
      </c>
      <c r="B13" s="197" t="s">
        <v>341</v>
      </c>
      <c r="C13" s="10" t="s">
        <v>1116</v>
      </c>
      <c r="D13" s="49" t="s">
        <v>57</v>
      </c>
      <c r="E13" s="49">
        <v>24</v>
      </c>
      <c r="F13" s="530">
        <v>490</v>
      </c>
      <c r="G13" s="530">
        <v>230</v>
      </c>
      <c r="H13" s="544">
        <f t="shared" si="0"/>
        <v>17280</v>
      </c>
    </row>
    <row r="14" spans="1:8" ht="31.5" customHeight="1" thickBot="1" x14ac:dyDescent="0.35">
      <c r="A14" s="12" t="s">
        <v>477</v>
      </c>
      <c r="B14" s="197" t="s">
        <v>342</v>
      </c>
      <c r="C14" s="10" t="s">
        <v>1117</v>
      </c>
      <c r="D14" s="49" t="s">
        <v>57</v>
      </c>
      <c r="E14" s="49">
        <v>12</v>
      </c>
      <c r="F14" s="530">
        <v>1050</v>
      </c>
      <c r="G14" s="530">
        <v>230</v>
      </c>
      <c r="H14" s="544">
        <f t="shared" si="0"/>
        <v>15360</v>
      </c>
    </row>
    <row r="15" spans="1:8" ht="31.5" customHeight="1" thickBot="1" x14ac:dyDescent="0.35">
      <c r="A15" s="12" t="s">
        <v>478</v>
      </c>
      <c r="B15" s="197" t="s">
        <v>343</v>
      </c>
      <c r="C15" s="10" t="s">
        <v>1118</v>
      </c>
      <c r="D15" s="49" t="s">
        <v>57</v>
      </c>
      <c r="E15" s="49">
        <v>12</v>
      </c>
      <c r="F15" s="530">
        <v>1050</v>
      </c>
      <c r="G15" s="530">
        <v>230</v>
      </c>
      <c r="H15" s="544">
        <f t="shared" si="0"/>
        <v>15360</v>
      </c>
    </row>
    <row r="16" spans="1:8" ht="31.5" customHeight="1" thickBot="1" x14ac:dyDescent="0.35">
      <c r="A16" s="12" t="s">
        <v>479</v>
      </c>
      <c r="B16" s="197" t="s">
        <v>344</v>
      </c>
      <c r="C16" s="10" t="s">
        <v>346</v>
      </c>
      <c r="D16" s="49" t="s">
        <v>57</v>
      </c>
      <c r="E16" s="835">
        <v>48</v>
      </c>
      <c r="F16" s="530">
        <v>1069</v>
      </c>
      <c r="G16" s="530">
        <v>350</v>
      </c>
      <c r="H16" s="544">
        <f t="shared" si="0"/>
        <v>68112</v>
      </c>
    </row>
    <row r="17" spans="1:8" ht="31.5" customHeight="1" thickBot="1" x14ac:dyDescent="0.35">
      <c r="A17" s="12" t="s">
        <v>480</v>
      </c>
      <c r="B17" s="197" t="s">
        <v>345</v>
      </c>
      <c r="C17" s="10" t="s">
        <v>347</v>
      </c>
      <c r="D17" s="49" t="s">
        <v>57</v>
      </c>
      <c r="E17" s="835">
        <v>220</v>
      </c>
      <c r="F17" s="530">
        <v>490</v>
      </c>
      <c r="G17" s="530">
        <v>225</v>
      </c>
      <c r="H17" s="544">
        <f t="shared" si="0"/>
        <v>157300</v>
      </c>
    </row>
    <row r="18" spans="1:8" ht="31.5" customHeight="1" thickBot="1" x14ac:dyDescent="0.35">
      <c r="A18" s="12" t="s">
        <v>481</v>
      </c>
      <c r="B18" s="197" t="s">
        <v>348</v>
      </c>
      <c r="C18" s="10" t="s">
        <v>349</v>
      </c>
      <c r="D18" s="49" t="s">
        <v>57</v>
      </c>
      <c r="E18" s="835">
        <v>66</v>
      </c>
      <c r="F18" s="530">
        <v>450</v>
      </c>
      <c r="G18" s="530">
        <v>225</v>
      </c>
      <c r="H18" s="544">
        <f t="shared" si="0"/>
        <v>44550</v>
      </c>
    </row>
    <row r="19" spans="1:8" ht="31.5" customHeight="1" thickBot="1" x14ac:dyDescent="0.35">
      <c r="A19" s="12" t="s">
        <v>482</v>
      </c>
      <c r="B19" s="197" t="s">
        <v>350</v>
      </c>
      <c r="C19" s="10" t="s">
        <v>356</v>
      </c>
      <c r="D19" s="49" t="s">
        <v>57</v>
      </c>
      <c r="E19" s="835">
        <v>46</v>
      </c>
      <c r="F19" s="530">
        <v>450</v>
      </c>
      <c r="G19" s="530">
        <v>225</v>
      </c>
      <c r="H19" s="544">
        <f t="shared" si="0"/>
        <v>31050</v>
      </c>
    </row>
    <row r="20" spans="1:8" ht="31.5" customHeight="1" thickBot="1" x14ac:dyDescent="0.35">
      <c r="A20" s="12" t="s">
        <v>483</v>
      </c>
      <c r="B20" s="197" t="s">
        <v>351</v>
      </c>
      <c r="C20" s="10" t="s">
        <v>354</v>
      </c>
      <c r="D20" s="49" t="s">
        <v>57</v>
      </c>
      <c r="E20" s="835">
        <v>6</v>
      </c>
      <c r="F20" s="530">
        <v>1450</v>
      </c>
      <c r="G20" s="530">
        <v>450</v>
      </c>
      <c r="H20" s="544">
        <f t="shared" si="0"/>
        <v>11400</v>
      </c>
    </row>
    <row r="21" spans="1:8" ht="31.5" customHeight="1" thickBot="1" x14ac:dyDescent="0.35">
      <c r="A21" s="12" t="s">
        <v>484</v>
      </c>
      <c r="B21" s="197" t="s">
        <v>352</v>
      </c>
      <c r="C21" s="10" t="s">
        <v>355</v>
      </c>
      <c r="D21" s="49" t="s">
        <v>57</v>
      </c>
      <c r="E21" s="835">
        <v>6</v>
      </c>
      <c r="F21" s="530">
        <v>1540</v>
      </c>
      <c r="G21" s="530">
        <v>450</v>
      </c>
      <c r="H21" s="544">
        <f t="shared" si="0"/>
        <v>11940</v>
      </c>
    </row>
    <row r="22" spans="1:8" ht="31.5" customHeight="1" thickBot="1" x14ac:dyDescent="0.35">
      <c r="A22" s="12" t="s">
        <v>485</v>
      </c>
      <c r="B22" s="197" t="s">
        <v>353</v>
      </c>
      <c r="C22" s="10" t="s">
        <v>381</v>
      </c>
      <c r="D22" s="49" t="s">
        <v>57</v>
      </c>
      <c r="E22" s="835">
        <v>18</v>
      </c>
      <c r="F22" s="530">
        <v>1050</v>
      </c>
      <c r="G22" s="530">
        <v>450</v>
      </c>
      <c r="H22" s="544">
        <f t="shared" si="0"/>
        <v>27000</v>
      </c>
    </row>
    <row r="23" spans="1:8" ht="31.5" customHeight="1" thickBot="1" x14ac:dyDescent="0.35">
      <c r="A23" s="12" t="s">
        <v>486</v>
      </c>
      <c r="B23" s="197" t="s">
        <v>353</v>
      </c>
      <c r="C23" s="10" t="s">
        <v>357</v>
      </c>
      <c r="D23" s="49" t="s">
        <v>57</v>
      </c>
      <c r="E23" s="835">
        <v>36</v>
      </c>
      <c r="F23" s="530">
        <v>1050</v>
      </c>
      <c r="G23" s="530">
        <v>450</v>
      </c>
      <c r="H23" s="544">
        <f t="shared" si="0"/>
        <v>54000</v>
      </c>
    </row>
    <row r="24" spans="1:8" ht="31.5" customHeight="1" thickBot="1" x14ac:dyDescent="0.35">
      <c r="A24" s="12" t="s">
        <v>487</v>
      </c>
      <c r="B24" s="197" t="s">
        <v>359</v>
      </c>
      <c r="C24" s="10" t="s">
        <v>358</v>
      </c>
      <c r="D24" s="49" t="s">
        <v>57</v>
      </c>
      <c r="E24" s="835">
        <v>24</v>
      </c>
      <c r="F24" s="530">
        <v>1050</v>
      </c>
      <c r="G24" s="530">
        <v>450</v>
      </c>
      <c r="H24" s="544">
        <f t="shared" si="0"/>
        <v>36000</v>
      </c>
    </row>
    <row r="25" spans="1:8" ht="31.5" customHeight="1" thickBot="1" x14ac:dyDescent="0.35">
      <c r="A25" s="12" t="s">
        <v>748</v>
      </c>
      <c r="B25" s="197" t="s">
        <v>353</v>
      </c>
      <c r="C25" s="10" t="s">
        <v>360</v>
      </c>
      <c r="D25" s="49" t="s">
        <v>57</v>
      </c>
      <c r="E25" s="835">
        <v>12</v>
      </c>
      <c r="F25" s="530">
        <v>1050</v>
      </c>
      <c r="G25" s="530">
        <v>450</v>
      </c>
      <c r="H25" s="544">
        <f t="shared" si="0"/>
        <v>18000</v>
      </c>
    </row>
    <row r="26" spans="1:8" ht="31.5" customHeight="1" thickBot="1" x14ac:dyDescent="0.35">
      <c r="A26" s="12" t="s">
        <v>749</v>
      </c>
      <c r="B26" s="197" t="s">
        <v>361</v>
      </c>
      <c r="C26" s="10" t="s">
        <v>362</v>
      </c>
      <c r="D26" s="49" t="s">
        <v>57</v>
      </c>
      <c r="E26" s="835">
        <v>75</v>
      </c>
      <c r="F26" s="530">
        <v>710</v>
      </c>
      <c r="G26" s="530">
        <v>315</v>
      </c>
      <c r="H26" s="544">
        <f t="shared" si="0"/>
        <v>76875</v>
      </c>
    </row>
    <row r="27" spans="1:8" ht="31.5" customHeight="1" thickBot="1" x14ac:dyDescent="0.35">
      <c r="A27" s="12" t="s">
        <v>750</v>
      </c>
      <c r="B27" s="197" t="s">
        <v>359</v>
      </c>
      <c r="C27" s="10" t="s">
        <v>363</v>
      </c>
      <c r="D27" s="49" t="s">
        <v>57</v>
      </c>
      <c r="E27" s="835">
        <v>75</v>
      </c>
      <c r="F27" s="530">
        <v>289</v>
      </c>
      <c r="G27" s="530">
        <v>225</v>
      </c>
      <c r="H27" s="544">
        <f t="shared" si="0"/>
        <v>38550</v>
      </c>
    </row>
    <row r="28" spans="1:8" ht="31.5" customHeight="1" thickBot="1" x14ac:dyDescent="0.35">
      <c r="A28" s="12" t="s">
        <v>751</v>
      </c>
      <c r="B28" s="197" t="s">
        <v>364</v>
      </c>
      <c r="C28" s="10" t="s">
        <v>365</v>
      </c>
      <c r="D28" s="49" t="s">
        <v>57</v>
      </c>
      <c r="E28" s="835">
        <v>210</v>
      </c>
      <c r="F28" s="530">
        <v>450</v>
      </c>
      <c r="G28" s="530">
        <v>225</v>
      </c>
      <c r="H28" s="544">
        <f t="shared" si="0"/>
        <v>141750</v>
      </c>
    </row>
    <row r="29" spans="1:8" ht="31.5" customHeight="1" thickBot="1" x14ac:dyDescent="0.35">
      <c r="A29" s="12" t="s">
        <v>752</v>
      </c>
      <c r="B29" s="197" t="s">
        <v>366</v>
      </c>
      <c r="C29" s="10" t="s">
        <v>367</v>
      </c>
      <c r="D29" s="49" t="s">
        <v>57</v>
      </c>
      <c r="E29" s="835">
        <v>276</v>
      </c>
      <c r="F29" s="530">
        <v>450</v>
      </c>
      <c r="G29" s="530">
        <v>225</v>
      </c>
      <c r="H29" s="530">
        <f t="shared" si="0"/>
        <v>186300</v>
      </c>
    </row>
    <row r="30" spans="1:8" ht="31.5" customHeight="1" thickBot="1" x14ac:dyDescent="0.35">
      <c r="A30" s="12" t="s">
        <v>753</v>
      </c>
      <c r="B30" s="197" t="s">
        <v>350</v>
      </c>
      <c r="C30" s="10" t="s">
        <v>368</v>
      </c>
      <c r="D30" s="49" t="s">
        <v>57</v>
      </c>
      <c r="E30" s="835">
        <v>66</v>
      </c>
      <c r="F30" s="530">
        <v>650</v>
      </c>
      <c r="G30" s="530">
        <v>230</v>
      </c>
      <c r="H30" s="530">
        <f t="shared" si="0"/>
        <v>58080</v>
      </c>
    </row>
    <row r="31" spans="1:8" ht="31.5" customHeight="1" thickBot="1" x14ac:dyDescent="0.35">
      <c r="A31" s="12" t="s">
        <v>754</v>
      </c>
      <c r="B31" s="197" t="s">
        <v>369</v>
      </c>
      <c r="C31" s="10" t="s">
        <v>370</v>
      </c>
      <c r="D31" s="49" t="s">
        <v>57</v>
      </c>
      <c r="E31" s="835">
        <v>195</v>
      </c>
      <c r="F31" s="530">
        <v>450</v>
      </c>
      <c r="G31" s="530">
        <v>230</v>
      </c>
      <c r="H31" s="530">
        <f t="shared" si="0"/>
        <v>132600</v>
      </c>
    </row>
    <row r="32" spans="1:8" ht="35.549999999999997" customHeight="1" thickBot="1" x14ac:dyDescent="0.35">
      <c r="A32" s="1082" t="s">
        <v>123</v>
      </c>
      <c r="B32" s="1083"/>
      <c r="C32" s="1083"/>
      <c r="D32" s="1083"/>
      <c r="E32" s="1083"/>
      <c r="F32" s="1083"/>
      <c r="G32" s="1084"/>
      <c r="H32" s="545">
        <f>SUM(H7:H31)</f>
        <v>1272031</v>
      </c>
    </row>
    <row r="33" spans="1:8" ht="15" customHeight="1" thickBot="1" x14ac:dyDescent="0.35">
      <c r="A33" s="106" t="s">
        <v>37</v>
      </c>
      <c r="B33" s="882" t="s">
        <v>1</v>
      </c>
      <c r="C33" s="1111" t="s">
        <v>2</v>
      </c>
      <c r="D33" s="1113" t="s">
        <v>3</v>
      </c>
      <c r="E33" s="1085" t="s">
        <v>4</v>
      </c>
      <c r="F33" s="417" t="s">
        <v>5</v>
      </c>
      <c r="G33" s="146"/>
      <c r="H33" s="882" t="s">
        <v>6</v>
      </c>
    </row>
    <row r="34" spans="1:8" ht="15" customHeight="1" thickBot="1" x14ac:dyDescent="0.35">
      <c r="A34" s="107" t="s">
        <v>38</v>
      </c>
      <c r="B34" s="883"/>
      <c r="C34" s="1112"/>
      <c r="D34" s="1114"/>
      <c r="E34" s="1086"/>
      <c r="F34" s="146" t="s">
        <v>7</v>
      </c>
      <c r="G34" s="146" t="s">
        <v>8</v>
      </c>
      <c r="H34" s="883"/>
    </row>
    <row r="35" spans="1:8" ht="35.549999999999997" customHeight="1" thickBot="1" x14ac:dyDescent="0.35">
      <c r="A35" s="1082" t="s">
        <v>566</v>
      </c>
      <c r="B35" s="1083"/>
      <c r="C35" s="1083"/>
      <c r="D35" s="1083"/>
      <c r="E35" s="1083"/>
      <c r="F35" s="1084"/>
      <c r="H35" s="537">
        <f>H32</f>
        <v>1272031</v>
      </c>
    </row>
    <row r="36" spans="1:8" ht="31.5" customHeight="1" thickBot="1" x14ac:dyDescent="0.35">
      <c r="A36" s="12" t="s">
        <v>755</v>
      </c>
      <c r="B36" s="197" t="s">
        <v>371</v>
      </c>
      <c r="C36" s="10" t="s">
        <v>372</v>
      </c>
      <c r="D36" s="49" t="s">
        <v>57</v>
      </c>
      <c r="E36" s="835">
        <v>66</v>
      </c>
      <c r="F36" s="530">
        <v>1050</v>
      </c>
      <c r="G36" s="530">
        <v>450</v>
      </c>
      <c r="H36" s="530">
        <f t="shared" ref="H36:H41" si="1">E36*(F36+G36)</f>
        <v>99000</v>
      </c>
    </row>
    <row r="37" spans="1:8" ht="31.5" customHeight="1" thickBot="1" x14ac:dyDescent="0.35">
      <c r="A37" s="12" t="s">
        <v>756</v>
      </c>
      <c r="B37" s="197" t="s">
        <v>373</v>
      </c>
      <c r="C37" s="10" t="s">
        <v>374</v>
      </c>
      <c r="D37" s="49" t="s">
        <v>57</v>
      </c>
      <c r="E37" s="835">
        <v>15</v>
      </c>
      <c r="F37" s="530">
        <v>464</v>
      </c>
      <c r="G37" s="530">
        <v>225</v>
      </c>
      <c r="H37" s="544">
        <f t="shared" si="1"/>
        <v>10335</v>
      </c>
    </row>
    <row r="38" spans="1:8" ht="31.5" customHeight="1" thickBot="1" x14ac:dyDescent="0.35">
      <c r="A38" s="12" t="s">
        <v>757</v>
      </c>
      <c r="B38" s="197" t="s">
        <v>375</v>
      </c>
      <c r="C38" s="10" t="s">
        <v>376</v>
      </c>
      <c r="D38" s="49" t="s">
        <v>57</v>
      </c>
      <c r="E38" s="835">
        <v>9</v>
      </c>
      <c r="F38" s="530">
        <v>650</v>
      </c>
      <c r="G38" s="530">
        <v>230</v>
      </c>
      <c r="H38" s="544">
        <f t="shared" si="1"/>
        <v>7920</v>
      </c>
    </row>
    <row r="39" spans="1:8" ht="31.5" customHeight="1" thickBot="1" x14ac:dyDescent="0.35">
      <c r="A39" s="12" t="s">
        <v>758</v>
      </c>
      <c r="B39" s="197" t="s">
        <v>377</v>
      </c>
      <c r="C39" s="10" t="s">
        <v>378</v>
      </c>
      <c r="D39" s="49" t="s">
        <v>57</v>
      </c>
      <c r="E39" s="835">
        <v>9</v>
      </c>
      <c r="F39" s="530">
        <v>464</v>
      </c>
      <c r="G39" s="530">
        <v>225</v>
      </c>
      <c r="H39" s="544">
        <f t="shared" si="1"/>
        <v>6201</v>
      </c>
    </row>
    <row r="40" spans="1:8" ht="31.5" customHeight="1" thickBot="1" x14ac:dyDescent="0.35">
      <c r="A40" s="12" t="s">
        <v>759</v>
      </c>
      <c r="B40" s="197" t="s">
        <v>379</v>
      </c>
      <c r="C40" s="10" t="s">
        <v>380</v>
      </c>
      <c r="D40" s="49" t="s">
        <v>57</v>
      </c>
      <c r="E40" s="835">
        <v>3</v>
      </c>
      <c r="F40" s="530">
        <v>75</v>
      </c>
      <c r="G40" s="530">
        <v>25</v>
      </c>
      <c r="H40" s="544">
        <f t="shared" si="1"/>
        <v>300</v>
      </c>
    </row>
    <row r="41" spans="1:8" ht="31.5" customHeight="1" thickBot="1" x14ac:dyDescent="0.35">
      <c r="A41" s="12" t="s">
        <v>760</v>
      </c>
      <c r="B41" s="197" t="s">
        <v>382</v>
      </c>
      <c r="C41" s="10" t="s">
        <v>383</v>
      </c>
      <c r="D41" s="49" t="s">
        <v>57</v>
      </c>
      <c r="E41" s="835">
        <v>9</v>
      </c>
      <c r="F41" s="530">
        <v>464</v>
      </c>
      <c r="G41" s="530">
        <v>225</v>
      </c>
      <c r="H41" s="544">
        <f t="shared" si="1"/>
        <v>6201</v>
      </c>
    </row>
    <row r="42" spans="1:8" ht="35.549999999999997" customHeight="1" thickBot="1" x14ac:dyDescent="0.35">
      <c r="A42" s="937" t="s">
        <v>942</v>
      </c>
      <c r="B42" s="938"/>
      <c r="C42" s="938"/>
      <c r="D42" s="938"/>
      <c r="E42" s="938"/>
      <c r="F42" s="938"/>
      <c r="G42" s="1107"/>
      <c r="H42" s="495"/>
    </row>
    <row r="43" spans="1:8" x14ac:dyDescent="0.3">
      <c r="H43" s="121"/>
    </row>
    <row r="44" spans="1:8" ht="15.75" customHeight="1" x14ac:dyDescent="0.3"/>
  </sheetData>
  <mergeCells count="13">
    <mergeCell ref="H33:H34"/>
    <mergeCell ref="A35:F35"/>
    <mergeCell ref="A32:G32"/>
    <mergeCell ref="A42:G42"/>
    <mergeCell ref="B2:B3"/>
    <mergeCell ref="C2:C3"/>
    <mergeCell ref="D2:D3"/>
    <mergeCell ref="E2:E3"/>
    <mergeCell ref="F2:G2"/>
    <mergeCell ref="B33:B34"/>
    <mergeCell ref="C33:C34"/>
    <mergeCell ref="D33:D34"/>
    <mergeCell ref="E33:E34"/>
  </mergeCells>
  <pageMargins left="0.70866141732283472" right="0.70866141732283472" top="0.74803149606299213" bottom="0.74803149606299213" header="0.31496062992125984" footer="0.31496062992125984"/>
  <pageSetup paperSize="9" scale="64" fitToHeight="0" orientation="portrait" r:id="rId1"/>
  <rowBreaks count="1" manualBreakCount="1">
    <brk id="32" max="7"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M30"/>
  <sheetViews>
    <sheetView view="pageBreakPreview" topLeftCell="A19" zoomScaleNormal="100" zoomScaleSheetLayoutView="100" workbookViewId="0">
      <selection activeCell="H30" sqref="H30"/>
    </sheetView>
  </sheetViews>
  <sheetFormatPr defaultRowHeight="14.4" x14ac:dyDescent="0.3"/>
  <cols>
    <col min="1" max="1" width="7.44140625" style="132" customWidth="1"/>
    <col min="2" max="2" width="8.33203125" customWidth="1"/>
    <col min="3" max="3" width="18.44140625" customWidth="1"/>
    <col min="4" max="4" width="6.88671875" customWidth="1"/>
    <col min="5" max="5" width="6.6640625" customWidth="1"/>
    <col min="6" max="6" width="10.5546875" customWidth="1"/>
    <col min="7" max="7" width="13.6640625" customWidth="1"/>
    <col min="8" max="8" width="36.33203125" customWidth="1"/>
  </cols>
  <sheetData>
    <row r="1" spans="1:8" ht="15" thickBot="1" x14ac:dyDescent="0.35"/>
    <row r="2" spans="1:8" ht="32.25" customHeight="1" thickBot="1" x14ac:dyDescent="0.35">
      <c r="A2" s="408" t="s">
        <v>37</v>
      </c>
      <c r="B2" s="1115" t="s">
        <v>1</v>
      </c>
      <c r="C2" s="1120" t="s">
        <v>2</v>
      </c>
      <c r="D2" s="1122" t="s">
        <v>3</v>
      </c>
      <c r="E2" s="1115" t="s">
        <v>4</v>
      </c>
      <c r="F2" s="1094" t="s">
        <v>5</v>
      </c>
      <c r="G2" s="1095"/>
      <c r="H2" s="1115" t="s">
        <v>6</v>
      </c>
    </row>
    <row r="3" spans="1:8" ht="15" thickBot="1" x14ac:dyDescent="0.35">
      <c r="A3" s="134" t="s">
        <v>38</v>
      </c>
      <c r="B3" s="1116"/>
      <c r="C3" s="1121"/>
      <c r="D3" s="1123"/>
      <c r="E3" s="1116"/>
      <c r="F3" s="4" t="s">
        <v>7</v>
      </c>
      <c r="G3" s="407" t="s">
        <v>8</v>
      </c>
      <c r="H3" s="1116"/>
    </row>
    <row r="4" spans="1:8" ht="15" thickBot="1" x14ac:dyDescent="0.35">
      <c r="A4" s="135"/>
      <c r="B4" s="128"/>
      <c r="C4" s="7" t="s">
        <v>488</v>
      </c>
      <c r="D4" s="11"/>
      <c r="E4" s="182"/>
      <c r="F4" s="39"/>
      <c r="G4" s="40"/>
      <c r="H4" s="183"/>
    </row>
    <row r="5" spans="1:8" ht="30" customHeight="1" thickBot="1" x14ac:dyDescent="0.35">
      <c r="A5" s="149">
        <v>18.100000000000001</v>
      </c>
      <c r="B5" s="137"/>
      <c r="C5" s="8" t="s">
        <v>136</v>
      </c>
      <c r="D5" s="138"/>
      <c r="E5" s="139"/>
      <c r="F5" s="182"/>
      <c r="G5" s="56"/>
      <c r="H5" s="137"/>
    </row>
    <row r="6" spans="1:8" ht="15" thickBot="1" x14ac:dyDescent="0.35">
      <c r="A6" s="72" t="s">
        <v>489</v>
      </c>
      <c r="B6" s="10"/>
      <c r="C6" s="9" t="s">
        <v>137</v>
      </c>
      <c r="D6" s="12"/>
      <c r="E6" s="12"/>
      <c r="F6" s="409"/>
      <c r="G6" s="50"/>
      <c r="H6" s="50"/>
    </row>
    <row r="7" spans="1:8" ht="55.8" thickBot="1" x14ac:dyDescent="0.35">
      <c r="A7" s="72" t="s">
        <v>923</v>
      </c>
      <c r="B7" s="10"/>
      <c r="C7" s="10" t="s">
        <v>922</v>
      </c>
      <c r="D7" s="12" t="s">
        <v>880</v>
      </c>
      <c r="E7" s="12">
        <v>1</v>
      </c>
      <c r="F7" s="547">
        <v>60000</v>
      </c>
      <c r="G7" s="546"/>
      <c r="H7" s="546">
        <f t="shared" ref="H7:H10" si="0">SUM(F7:G7)*E7</f>
        <v>60000</v>
      </c>
    </row>
    <row r="8" spans="1:8" ht="15" thickBot="1" x14ac:dyDescent="0.35">
      <c r="A8" s="72" t="s">
        <v>490</v>
      </c>
      <c r="B8" s="10"/>
      <c r="C8" s="9" t="s">
        <v>138</v>
      </c>
      <c r="D8" s="104"/>
      <c r="E8" s="104"/>
      <c r="F8" s="548"/>
      <c r="G8" s="751"/>
      <c r="H8" s="546"/>
    </row>
    <row r="9" spans="1:8" ht="221.4" thickBot="1" x14ac:dyDescent="0.35">
      <c r="A9" s="72" t="s">
        <v>924</v>
      </c>
      <c r="B9" s="10"/>
      <c r="C9" s="10" t="s">
        <v>925</v>
      </c>
      <c r="D9" s="12" t="s">
        <v>37</v>
      </c>
      <c r="E9" s="12">
        <v>1</v>
      </c>
      <c r="F9" s="547">
        <v>60000</v>
      </c>
      <c r="G9" s="197"/>
      <c r="H9" s="546">
        <f t="shared" si="0"/>
        <v>60000</v>
      </c>
    </row>
    <row r="10" spans="1:8" ht="193.8" thickBot="1" x14ac:dyDescent="0.35">
      <c r="A10" s="72" t="s">
        <v>926</v>
      </c>
      <c r="B10" s="10"/>
      <c r="C10" s="10" t="s">
        <v>927</v>
      </c>
      <c r="D10" s="10" t="s">
        <v>880</v>
      </c>
      <c r="E10" s="12">
        <v>1</v>
      </c>
      <c r="F10" s="547">
        <v>60000</v>
      </c>
      <c r="G10" s="197"/>
      <c r="H10" s="546">
        <f t="shared" si="0"/>
        <v>60000</v>
      </c>
    </row>
    <row r="11" spans="1:8" ht="31.8" customHeight="1" thickBot="1" x14ac:dyDescent="0.35">
      <c r="A11" s="72" t="s">
        <v>491</v>
      </c>
      <c r="B11" s="10"/>
      <c r="C11" s="9" t="s">
        <v>139</v>
      </c>
      <c r="D11" s="104"/>
      <c r="E11" s="104"/>
      <c r="F11" s="548"/>
      <c r="G11" s="751"/>
      <c r="H11" s="197"/>
    </row>
    <row r="12" spans="1:8" ht="24.75" customHeight="1" thickBot="1" x14ac:dyDescent="0.35">
      <c r="A12" s="72" t="s">
        <v>492</v>
      </c>
      <c r="B12" s="10"/>
      <c r="C12" s="10" t="s">
        <v>140</v>
      </c>
      <c r="D12" s="12" t="s">
        <v>13</v>
      </c>
      <c r="E12" s="12">
        <v>1</v>
      </c>
      <c r="F12" s="547">
        <v>5000</v>
      </c>
      <c r="G12" s="546"/>
      <c r="H12" s="546">
        <f>SUM(F12:G12)*E12</f>
        <v>5000</v>
      </c>
    </row>
    <row r="13" spans="1:8" ht="24.75" customHeight="1" thickBot="1" x14ac:dyDescent="0.35">
      <c r="A13" s="72" t="s">
        <v>493</v>
      </c>
      <c r="B13" s="10"/>
      <c r="C13" s="10" t="s">
        <v>141</v>
      </c>
      <c r="D13" s="12" t="s">
        <v>13</v>
      </c>
      <c r="E13" s="12">
        <v>1</v>
      </c>
      <c r="F13" s="547">
        <v>5000</v>
      </c>
      <c r="G13" s="546"/>
      <c r="H13" s="546">
        <f>SUM(F13:G13)*E13</f>
        <v>5000</v>
      </c>
    </row>
    <row r="14" spans="1:8" ht="28.2" thickBot="1" x14ac:dyDescent="0.35">
      <c r="A14" s="72" t="s">
        <v>494</v>
      </c>
      <c r="B14" s="10"/>
      <c r="C14" s="9" t="s">
        <v>142</v>
      </c>
      <c r="D14" s="104"/>
      <c r="E14" s="104"/>
      <c r="F14" s="548"/>
      <c r="G14" s="751"/>
      <c r="H14" s="197"/>
    </row>
    <row r="15" spans="1:8" ht="35.549999999999997" customHeight="1" thickBot="1" x14ac:dyDescent="0.35">
      <c r="A15" s="72" t="s">
        <v>495</v>
      </c>
      <c r="B15" s="10"/>
      <c r="C15" s="10" t="s">
        <v>143</v>
      </c>
      <c r="D15" s="12" t="s">
        <v>13</v>
      </c>
      <c r="E15" s="12">
        <v>1</v>
      </c>
      <c r="F15" s="547">
        <v>5000</v>
      </c>
      <c r="G15" s="546"/>
      <c r="H15" s="546">
        <f>SUM(F15:G15)*E15</f>
        <v>5000</v>
      </c>
    </row>
    <row r="16" spans="1:8" ht="35.549999999999997" customHeight="1" thickBot="1" x14ac:dyDescent="0.35">
      <c r="A16" s="1082" t="s">
        <v>123</v>
      </c>
      <c r="B16" s="1083"/>
      <c r="C16" s="1083"/>
      <c r="D16" s="1083"/>
      <c r="E16" s="1083"/>
      <c r="F16" s="1083"/>
      <c r="G16" s="1084"/>
      <c r="H16" s="545">
        <f>SUM(H7:H15)</f>
        <v>195000</v>
      </c>
    </row>
    <row r="17" spans="1:13" ht="15" customHeight="1" thickBot="1" x14ac:dyDescent="0.35">
      <c r="A17" s="106" t="s">
        <v>37</v>
      </c>
      <c r="B17" s="882" t="s">
        <v>1</v>
      </c>
      <c r="C17" s="1111" t="s">
        <v>2</v>
      </c>
      <c r="D17" s="1113" t="s">
        <v>3</v>
      </c>
      <c r="E17" s="882" t="s">
        <v>4</v>
      </c>
      <c r="F17" s="417" t="s">
        <v>5</v>
      </c>
      <c r="G17" s="146"/>
      <c r="H17" s="882" t="s">
        <v>6</v>
      </c>
    </row>
    <row r="18" spans="1:13" ht="15" customHeight="1" thickBot="1" x14ac:dyDescent="0.35">
      <c r="A18" s="107" t="s">
        <v>38</v>
      </c>
      <c r="B18" s="883"/>
      <c r="C18" s="1112"/>
      <c r="D18" s="1114"/>
      <c r="E18" s="883"/>
      <c r="F18" s="146" t="s">
        <v>7</v>
      </c>
      <c r="G18" s="146" t="s">
        <v>8</v>
      </c>
      <c r="H18" s="883"/>
    </row>
    <row r="19" spans="1:13" ht="35.549999999999997" customHeight="1" thickBot="1" x14ac:dyDescent="0.35">
      <c r="A19" s="1082" t="s">
        <v>566</v>
      </c>
      <c r="B19" s="1083"/>
      <c r="C19" s="1083"/>
      <c r="D19" s="1083"/>
      <c r="E19" s="1083"/>
      <c r="F19" s="1084"/>
      <c r="H19" s="537">
        <f>H16</f>
        <v>195000</v>
      </c>
    </row>
    <row r="20" spans="1:13" ht="15" thickBot="1" x14ac:dyDescent="0.35">
      <c r="A20" s="72" t="s">
        <v>496</v>
      </c>
      <c r="B20" s="10"/>
      <c r="C20" s="9" t="s">
        <v>144</v>
      </c>
      <c r="D20" s="104"/>
      <c r="E20" s="104"/>
      <c r="F20" s="104"/>
      <c r="G20" s="105"/>
      <c r="H20" s="10"/>
    </row>
    <row r="21" spans="1:13" ht="35.549999999999997" customHeight="1" thickBot="1" x14ac:dyDescent="0.35">
      <c r="A21" s="72" t="s">
        <v>978</v>
      </c>
      <c r="B21" s="10"/>
      <c r="C21" s="10" t="s">
        <v>145</v>
      </c>
      <c r="D21" s="12" t="s">
        <v>13</v>
      </c>
      <c r="E21" s="12">
        <v>1</v>
      </c>
      <c r="F21" s="547">
        <v>5000</v>
      </c>
      <c r="G21" s="546"/>
      <c r="H21" s="546">
        <f>SUM(F21:G21)*E21</f>
        <v>5000</v>
      </c>
    </row>
    <row r="22" spans="1:13" ht="15" thickBot="1" x14ac:dyDescent="0.35">
      <c r="A22" s="72" t="s">
        <v>497</v>
      </c>
      <c r="B22" s="10"/>
      <c r="C22" s="9" t="s">
        <v>146</v>
      </c>
      <c r="D22" s="104"/>
      <c r="E22" s="104"/>
      <c r="F22" s="548"/>
      <c r="G22" s="751"/>
      <c r="H22" s="197"/>
    </row>
    <row r="23" spans="1:13" ht="15" thickBot="1" x14ac:dyDescent="0.35">
      <c r="A23" s="72" t="s">
        <v>498</v>
      </c>
      <c r="B23" s="10"/>
      <c r="C23" s="9" t="s">
        <v>147</v>
      </c>
      <c r="D23" s="104"/>
      <c r="E23" s="104"/>
      <c r="F23" s="548"/>
      <c r="G23" s="751"/>
      <c r="H23" s="197"/>
    </row>
    <row r="24" spans="1:13" ht="35.549999999999997" customHeight="1" thickBot="1" x14ac:dyDescent="0.35">
      <c r="A24" s="72" t="s">
        <v>979</v>
      </c>
      <c r="B24" s="10"/>
      <c r="C24" s="10" t="s">
        <v>148</v>
      </c>
      <c r="D24" s="12" t="s">
        <v>13</v>
      </c>
      <c r="E24" s="12">
        <v>1</v>
      </c>
      <c r="F24" s="547">
        <v>12000</v>
      </c>
      <c r="G24" s="546"/>
      <c r="H24" s="546">
        <f>SUM(F24:G24)*E24</f>
        <v>12000</v>
      </c>
      <c r="M24" s="209"/>
    </row>
    <row r="25" spans="1:13" ht="42" thickBot="1" x14ac:dyDescent="0.35">
      <c r="A25" s="72" t="s">
        <v>980</v>
      </c>
      <c r="B25" s="10"/>
      <c r="C25" s="10" t="s">
        <v>149</v>
      </c>
      <c r="D25" s="12" t="s">
        <v>13</v>
      </c>
      <c r="E25" s="12">
        <v>1</v>
      </c>
      <c r="F25" s="547">
        <v>15000</v>
      </c>
      <c r="G25" s="546"/>
      <c r="H25" s="546">
        <f>SUM(F25:G25)*E25</f>
        <v>15000</v>
      </c>
    </row>
    <row r="26" spans="1:13" ht="15" thickBot="1" x14ac:dyDescent="0.35">
      <c r="A26" s="72" t="s">
        <v>499</v>
      </c>
      <c r="B26" s="10"/>
      <c r="C26" s="9" t="s">
        <v>150</v>
      </c>
      <c r="D26" s="104"/>
      <c r="E26" s="104"/>
      <c r="F26" s="548"/>
      <c r="G26" s="751"/>
      <c r="H26" s="197"/>
    </row>
    <row r="27" spans="1:13" ht="35.549999999999997" customHeight="1" thickBot="1" x14ac:dyDescent="0.35">
      <c r="A27" s="72" t="s">
        <v>981</v>
      </c>
      <c r="B27" s="10"/>
      <c r="C27" s="10" t="s">
        <v>148</v>
      </c>
      <c r="D27" s="12" t="s">
        <v>13</v>
      </c>
      <c r="E27" s="12">
        <v>1</v>
      </c>
      <c r="F27" s="547">
        <v>12000</v>
      </c>
      <c r="G27" s="546"/>
      <c r="H27" s="546">
        <f>SUM(F27:G27)*E27</f>
        <v>12000</v>
      </c>
    </row>
    <row r="28" spans="1:13" ht="42" thickBot="1" x14ac:dyDescent="0.35">
      <c r="A28" s="72" t="s">
        <v>982</v>
      </c>
      <c r="B28" s="10"/>
      <c r="C28" s="10" t="s">
        <v>149</v>
      </c>
      <c r="D28" s="12" t="s">
        <v>13</v>
      </c>
      <c r="E28" s="12">
        <v>1</v>
      </c>
      <c r="F28" s="547">
        <v>15000</v>
      </c>
      <c r="G28" s="546"/>
      <c r="H28" s="546">
        <f>SUM(F28:G28)*E28</f>
        <v>15000</v>
      </c>
    </row>
    <row r="29" spans="1:13" ht="35.549999999999997" customHeight="1" thickBot="1" x14ac:dyDescent="0.35">
      <c r="A29" s="72" t="s">
        <v>983</v>
      </c>
      <c r="B29" s="10"/>
      <c r="C29" s="10" t="s">
        <v>151</v>
      </c>
      <c r="D29" s="12" t="s">
        <v>13</v>
      </c>
      <c r="E29" s="12">
        <v>1</v>
      </c>
      <c r="F29" s="547">
        <v>25000</v>
      </c>
      <c r="G29" s="546"/>
      <c r="H29" s="546">
        <f>SUM(F29:G29)*E29</f>
        <v>25000</v>
      </c>
    </row>
    <row r="30" spans="1:13" ht="35.549999999999997" customHeight="1" thickBot="1" x14ac:dyDescent="0.35">
      <c r="A30" s="1117" t="s">
        <v>943</v>
      </c>
      <c r="B30" s="1118"/>
      <c r="C30" s="1118"/>
      <c r="D30" s="1118"/>
      <c r="E30" s="1118"/>
      <c r="F30" s="1118"/>
      <c r="G30" s="1119"/>
      <c r="H30" s="866"/>
    </row>
  </sheetData>
  <mergeCells count="14">
    <mergeCell ref="H2:H3"/>
    <mergeCell ref="A30:G30"/>
    <mergeCell ref="B2:B3"/>
    <mergeCell ref="C2:C3"/>
    <mergeCell ref="D2:D3"/>
    <mergeCell ref="E2:E3"/>
    <mergeCell ref="F2:G2"/>
    <mergeCell ref="A16:G16"/>
    <mergeCell ref="B17:B18"/>
    <mergeCell ref="C17:C18"/>
    <mergeCell ref="D17:D18"/>
    <mergeCell ref="E17:E18"/>
    <mergeCell ref="H17:H18"/>
    <mergeCell ref="A19:F19"/>
  </mergeCells>
  <phoneticPr fontId="46" type="noConversion"/>
  <pageMargins left="0.70866141732283472" right="0.70866141732283472" top="0.74803149606299213" bottom="0.74803149606299213" header="0.31496062992125984" footer="0.31496062992125984"/>
  <pageSetup paperSize="9" scale="80" fitToHeight="0" orientation="portrait" r:id="rId1"/>
  <rowBreaks count="1" manualBreakCount="1">
    <brk id="16"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8A7EB-AD4A-4BDD-80F5-72C1BE04A516}">
  <dimension ref="A1:G37"/>
  <sheetViews>
    <sheetView view="pageBreakPreview" topLeftCell="A22" zoomScale="110" zoomScaleNormal="100" zoomScaleSheetLayoutView="110" workbookViewId="0">
      <selection activeCell="G37" sqref="G37"/>
    </sheetView>
  </sheetViews>
  <sheetFormatPr defaultColWidth="8.77734375" defaultRowHeight="13.8" x14ac:dyDescent="0.25"/>
  <cols>
    <col min="1" max="1" width="7.44140625" style="849" customWidth="1"/>
    <col min="2" max="2" width="8.33203125" style="2" customWidth="1"/>
    <col min="3" max="3" width="23" style="2" customWidth="1"/>
    <col min="4" max="4" width="6.88671875" style="2" customWidth="1"/>
    <col min="5" max="5" width="9.33203125" style="2" customWidth="1"/>
    <col min="6" max="6" width="15.33203125" style="2" customWidth="1"/>
    <col min="7" max="7" width="36.33203125" style="2" customWidth="1"/>
    <col min="8" max="16384" width="8.77734375" style="2"/>
  </cols>
  <sheetData>
    <row r="1" spans="1:7" ht="14.4" thickBot="1" x14ac:dyDescent="0.3"/>
    <row r="2" spans="1:7" ht="32.25" customHeight="1" x14ac:dyDescent="0.25">
      <c r="A2" s="408" t="s">
        <v>37</v>
      </c>
      <c r="B2" s="1115" t="s">
        <v>1</v>
      </c>
      <c r="C2" s="1120" t="s">
        <v>2</v>
      </c>
      <c r="D2" s="1122" t="s">
        <v>3</v>
      </c>
      <c r="E2" s="1115" t="s">
        <v>4</v>
      </c>
      <c r="F2" s="1124" t="s">
        <v>1064</v>
      </c>
      <c r="G2" s="1115" t="s">
        <v>6</v>
      </c>
    </row>
    <row r="3" spans="1:7" ht="14.4" thickBot="1" x14ac:dyDescent="0.3">
      <c r="A3" s="134" t="s">
        <v>38</v>
      </c>
      <c r="B3" s="1116"/>
      <c r="C3" s="1121"/>
      <c r="D3" s="1123"/>
      <c r="E3" s="1116"/>
      <c r="F3" s="1125"/>
      <c r="G3" s="1116"/>
    </row>
    <row r="4" spans="1:7" ht="28.2" thickBot="1" x14ac:dyDescent="0.3">
      <c r="A4" s="135"/>
      <c r="B4" s="128"/>
      <c r="C4" s="7" t="s">
        <v>1065</v>
      </c>
      <c r="D4" s="12"/>
      <c r="E4" s="12"/>
      <c r="F4" s="10"/>
      <c r="G4" s="137"/>
    </row>
    <row r="5" spans="1:7" ht="30" customHeight="1" thickBot="1" x14ac:dyDescent="0.3">
      <c r="A5" s="149" t="s">
        <v>1066</v>
      </c>
      <c r="B5" s="137"/>
      <c r="C5" s="8" t="s">
        <v>1067</v>
      </c>
      <c r="D5" s="12"/>
      <c r="E5" s="12"/>
      <c r="F5" s="10"/>
      <c r="G5" s="137"/>
    </row>
    <row r="6" spans="1:7" ht="14.4" thickBot="1" x14ac:dyDescent="0.3">
      <c r="A6" s="72" t="s">
        <v>1068</v>
      </c>
      <c r="B6" s="10"/>
      <c r="C6" s="9" t="s">
        <v>1069</v>
      </c>
      <c r="D6" s="12"/>
      <c r="E6" s="12"/>
      <c r="F6" s="50"/>
      <c r="G6" s="50"/>
    </row>
    <row r="7" spans="1:7" ht="55.8" thickBot="1" x14ac:dyDescent="0.3">
      <c r="A7" s="72" t="s">
        <v>1070</v>
      </c>
      <c r="B7" s="10"/>
      <c r="C7" s="10" t="s">
        <v>1071</v>
      </c>
      <c r="D7" s="12" t="s">
        <v>287</v>
      </c>
      <c r="E7" s="12">
        <f>750*6</f>
        <v>4500</v>
      </c>
      <c r="F7" s="546">
        <v>35</v>
      </c>
      <c r="G7" s="546">
        <f>F7*E7</f>
        <v>157500</v>
      </c>
    </row>
    <row r="8" spans="1:7" ht="55.8" thickBot="1" x14ac:dyDescent="0.3">
      <c r="A8" s="72" t="s">
        <v>1072</v>
      </c>
      <c r="B8" s="10"/>
      <c r="C8" s="10" t="s">
        <v>1073</v>
      </c>
      <c r="D8" s="12" t="s">
        <v>1074</v>
      </c>
      <c r="E8" s="12">
        <f>750*6*0.45</f>
        <v>2025</v>
      </c>
      <c r="F8" s="546">
        <v>115</v>
      </c>
      <c r="G8" s="546">
        <f>F8*E8</f>
        <v>232875</v>
      </c>
    </row>
    <row r="9" spans="1:7" ht="31.8" customHeight="1" thickBot="1" x14ac:dyDescent="0.3">
      <c r="A9" s="72" t="s">
        <v>1075</v>
      </c>
      <c r="B9" s="10"/>
      <c r="C9" s="9" t="s">
        <v>1076</v>
      </c>
      <c r="D9" s="104"/>
      <c r="E9" s="104"/>
      <c r="F9" s="105"/>
      <c r="G9" s="105"/>
    </row>
    <row r="10" spans="1:7" ht="70.8" customHeight="1" thickBot="1" x14ac:dyDescent="0.3">
      <c r="A10" s="72" t="s">
        <v>1077</v>
      </c>
      <c r="B10" s="10"/>
      <c r="C10" s="10" t="s">
        <v>1078</v>
      </c>
      <c r="D10" s="12" t="s">
        <v>1074</v>
      </c>
      <c r="E10" s="12">
        <f>750*6*0.15</f>
        <v>675</v>
      </c>
      <c r="F10" s="546">
        <v>70</v>
      </c>
      <c r="G10" s="546">
        <f>SUM(F10:F10)*E10</f>
        <v>47250</v>
      </c>
    </row>
    <row r="11" spans="1:7" ht="37.200000000000003" customHeight="1" thickBot="1" x14ac:dyDescent="0.3">
      <c r="A11" s="72" t="s">
        <v>1079</v>
      </c>
      <c r="B11" s="10"/>
      <c r="C11" s="10" t="s">
        <v>1080</v>
      </c>
      <c r="D11" s="12"/>
      <c r="E11" s="12"/>
      <c r="F11" s="546"/>
      <c r="G11" s="546"/>
    </row>
    <row r="12" spans="1:7" ht="14.4" thickBot="1" x14ac:dyDescent="0.3">
      <c r="A12" s="72" t="s">
        <v>1081</v>
      </c>
      <c r="B12" s="10"/>
      <c r="C12" s="10" t="s">
        <v>1082</v>
      </c>
      <c r="D12" s="12" t="s">
        <v>1074</v>
      </c>
      <c r="E12" s="12">
        <f>750*6*0.15</f>
        <v>675</v>
      </c>
      <c r="F12" s="546">
        <v>150</v>
      </c>
      <c r="G12" s="546">
        <f t="shared" ref="G12" si="0">SUM(F12:F12)*E12</f>
        <v>101250</v>
      </c>
    </row>
    <row r="13" spans="1:7" ht="40.799999999999997" customHeight="1" thickBot="1" x14ac:dyDescent="0.3">
      <c r="A13" s="72" t="s">
        <v>1083</v>
      </c>
      <c r="B13" s="10"/>
      <c r="C13" s="10" t="s">
        <v>1084</v>
      </c>
      <c r="D13" s="12" t="s">
        <v>1074</v>
      </c>
      <c r="E13" s="12">
        <f>E8</f>
        <v>2025</v>
      </c>
      <c r="F13" s="546">
        <v>100</v>
      </c>
      <c r="G13" s="546">
        <f>F13*E13</f>
        <v>202500</v>
      </c>
    </row>
    <row r="14" spans="1:7" ht="35.549999999999997" customHeight="1" thickBot="1" x14ac:dyDescent="0.3">
      <c r="A14" s="1082" t="s">
        <v>123</v>
      </c>
      <c r="B14" s="1083"/>
      <c r="C14" s="1083"/>
      <c r="D14" s="1083"/>
      <c r="E14" s="1083"/>
      <c r="F14" s="1084"/>
      <c r="G14" s="545">
        <f>SUM(G7:G13)</f>
        <v>741375</v>
      </c>
    </row>
    <row r="15" spans="1:7" ht="15" customHeight="1" x14ac:dyDescent="0.25">
      <c r="A15" s="106" t="s">
        <v>37</v>
      </c>
      <c r="B15" s="882" t="s">
        <v>1</v>
      </c>
      <c r="C15" s="1111" t="s">
        <v>2</v>
      </c>
      <c r="D15" s="1113" t="s">
        <v>3</v>
      </c>
      <c r="E15" s="882" t="s">
        <v>4</v>
      </c>
      <c r="F15" s="882" t="s">
        <v>5</v>
      </c>
      <c r="G15" s="882" t="s">
        <v>6</v>
      </c>
    </row>
    <row r="16" spans="1:7" ht="15" customHeight="1" thickBot="1" x14ac:dyDescent="0.3">
      <c r="A16" s="107" t="s">
        <v>38</v>
      </c>
      <c r="B16" s="883"/>
      <c r="C16" s="1112"/>
      <c r="D16" s="1114"/>
      <c r="E16" s="883"/>
      <c r="F16" s="883"/>
      <c r="G16" s="883"/>
    </row>
    <row r="17" spans="1:7" ht="35.549999999999997" customHeight="1" thickBot="1" x14ac:dyDescent="0.3">
      <c r="A17" s="1082" t="s">
        <v>566</v>
      </c>
      <c r="B17" s="1083"/>
      <c r="C17" s="1083"/>
      <c r="D17" s="1083"/>
      <c r="E17" s="1083"/>
      <c r="G17" s="546">
        <f>G14</f>
        <v>741375</v>
      </c>
    </row>
    <row r="18" spans="1:7" ht="14.4" thickBot="1" x14ac:dyDescent="0.3">
      <c r="A18" s="72" t="s">
        <v>1085</v>
      </c>
      <c r="B18" s="10"/>
      <c r="C18" s="9" t="s">
        <v>1086</v>
      </c>
      <c r="D18" s="104"/>
      <c r="E18" s="104"/>
      <c r="F18" s="105"/>
      <c r="G18" s="197"/>
    </row>
    <row r="19" spans="1:7" ht="14.4" thickBot="1" x14ac:dyDescent="0.3">
      <c r="A19" s="72" t="s">
        <v>1087</v>
      </c>
      <c r="B19" s="10"/>
      <c r="C19" s="10" t="s">
        <v>1088</v>
      </c>
      <c r="D19" s="12" t="s">
        <v>1074</v>
      </c>
      <c r="E19" s="12">
        <f>E8*0.2</f>
        <v>405</v>
      </c>
      <c r="F19" s="546">
        <v>350</v>
      </c>
      <c r="G19" s="546">
        <f>F19*E19</f>
        <v>141750</v>
      </c>
    </row>
    <row r="20" spans="1:7" ht="14.4" thickBot="1" x14ac:dyDescent="0.3">
      <c r="A20" s="72" t="s">
        <v>1089</v>
      </c>
      <c r="B20" s="10"/>
      <c r="C20" s="10" t="s">
        <v>1090</v>
      </c>
      <c r="D20" s="12" t="s">
        <v>1074</v>
      </c>
      <c r="E20" s="12">
        <f>E8*0.1</f>
        <v>202.5</v>
      </c>
      <c r="F20" s="546">
        <v>480</v>
      </c>
      <c r="G20" s="546">
        <f>F20*E20</f>
        <v>97200</v>
      </c>
    </row>
    <row r="21" spans="1:7" ht="14.4" thickBot="1" x14ac:dyDescent="0.3">
      <c r="A21" s="72" t="s">
        <v>1091</v>
      </c>
      <c r="B21" s="10"/>
      <c r="C21" s="9" t="s">
        <v>1092</v>
      </c>
      <c r="D21" s="104"/>
      <c r="E21" s="104"/>
      <c r="F21" s="751"/>
      <c r="G21" s="197"/>
    </row>
    <row r="22" spans="1:7" ht="54.6" customHeight="1" thickBot="1" x14ac:dyDescent="0.3">
      <c r="A22" s="72" t="s">
        <v>1093</v>
      </c>
      <c r="B22" s="10"/>
      <c r="C22" s="10" t="s">
        <v>1094</v>
      </c>
      <c r="D22" s="12"/>
      <c r="E22" s="12"/>
      <c r="F22" s="546"/>
      <c r="G22" s="546">
        <f>SUM(F22:F22)*E22</f>
        <v>0</v>
      </c>
    </row>
    <row r="23" spans="1:7" ht="18" customHeight="1" thickBot="1" x14ac:dyDescent="0.3">
      <c r="A23" s="72" t="s">
        <v>1095</v>
      </c>
      <c r="B23" s="10"/>
      <c r="C23" s="10" t="s">
        <v>1096</v>
      </c>
      <c r="D23" s="12" t="s">
        <v>1074</v>
      </c>
      <c r="E23" s="12">
        <f>750*6*0.15</f>
        <v>675</v>
      </c>
      <c r="F23" s="546">
        <v>200</v>
      </c>
      <c r="G23" s="546">
        <f>F23*E23</f>
        <v>135000</v>
      </c>
    </row>
    <row r="24" spans="1:7" ht="33" customHeight="1" thickBot="1" x14ac:dyDescent="0.3">
      <c r="A24" s="72" t="s">
        <v>1097</v>
      </c>
      <c r="B24" s="10"/>
      <c r="C24" s="9" t="s">
        <v>1098</v>
      </c>
      <c r="D24" s="104"/>
      <c r="E24" s="104"/>
      <c r="F24" s="105"/>
      <c r="G24" s="546"/>
    </row>
    <row r="25" spans="1:7" ht="21" customHeight="1" thickBot="1" x14ac:dyDescent="0.3">
      <c r="A25" s="72" t="s">
        <v>1099</v>
      </c>
      <c r="B25" s="10"/>
      <c r="C25" s="10" t="s">
        <v>1100</v>
      </c>
      <c r="D25" s="12" t="s">
        <v>1074</v>
      </c>
      <c r="E25" s="12">
        <f>E23</f>
        <v>675</v>
      </c>
      <c r="F25" s="50" t="s">
        <v>1052</v>
      </c>
      <c r="G25" s="50"/>
    </row>
    <row r="26" spans="1:7" ht="21" customHeight="1" thickBot="1" x14ac:dyDescent="0.3">
      <c r="A26" s="72" t="s">
        <v>1101</v>
      </c>
      <c r="B26" s="10"/>
      <c r="C26" s="10" t="s">
        <v>1102</v>
      </c>
      <c r="D26" s="12" t="s">
        <v>1074</v>
      </c>
      <c r="E26" s="12">
        <f>E23</f>
        <v>675</v>
      </c>
      <c r="F26" s="50" t="s">
        <v>1052</v>
      </c>
      <c r="G26" s="50"/>
    </row>
    <row r="27" spans="1:7" ht="21" customHeight="1" thickBot="1" x14ac:dyDescent="0.3">
      <c r="A27" s="72"/>
      <c r="B27" s="10"/>
      <c r="C27" s="10"/>
      <c r="D27" s="12"/>
      <c r="E27" s="12"/>
      <c r="F27" s="50"/>
      <c r="G27" s="546"/>
    </row>
    <row r="28" spans="1:7" ht="21" customHeight="1" thickBot="1" x14ac:dyDescent="0.3">
      <c r="A28" s="72" t="s">
        <v>1103</v>
      </c>
      <c r="B28" s="10"/>
      <c r="C28" s="9" t="s">
        <v>1104</v>
      </c>
      <c r="D28" s="104"/>
      <c r="E28" s="104"/>
      <c r="F28" s="105"/>
      <c r="G28" s="546"/>
    </row>
    <row r="29" spans="1:7" ht="31.8" customHeight="1" thickBot="1" x14ac:dyDescent="0.3">
      <c r="A29" s="72" t="s">
        <v>1105</v>
      </c>
      <c r="B29" s="10"/>
      <c r="C29" s="9" t="s">
        <v>1106</v>
      </c>
      <c r="D29" s="12"/>
      <c r="E29" s="12"/>
      <c r="F29" s="50"/>
      <c r="G29" s="546"/>
    </row>
    <row r="30" spans="1:7" ht="55.8" customHeight="1" thickBot="1" x14ac:dyDescent="0.3">
      <c r="A30" s="72" t="s">
        <v>1107</v>
      </c>
      <c r="B30" s="10"/>
      <c r="C30" s="10" t="s">
        <v>1108</v>
      </c>
      <c r="D30" s="12" t="s">
        <v>1074</v>
      </c>
      <c r="E30" s="12">
        <f>E23</f>
        <v>675</v>
      </c>
      <c r="F30" s="546">
        <v>500</v>
      </c>
      <c r="G30" s="546">
        <f>F30*E30</f>
        <v>337500</v>
      </c>
    </row>
    <row r="31" spans="1:7" ht="21" customHeight="1" thickBot="1" x14ac:dyDescent="0.3">
      <c r="A31" s="72"/>
      <c r="B31" s="10"/>
      <c r="C31" s="10"/>
      <c r="D31" s="12"/>
      <c r="E31" s="12"/>
      <c r="F31" s="546"/>
      <c r="G31" s="546"/>
    </row>
    <row r="32" spans="1:7" ht="14.4" thickBot="1" x14ac:dyDescent="0.3">
      <c r="A32" s="72"/>
      <c r="B32" s="10"/>
      <c r="C32" s="10"/>
      <c r="D32" s="12"/>
      <c r="E32" s="12"/>
      <c r="F32" s="546"/>
      <c r="G32" s="546"/>
    </row>
    <row r="33" spans="1:7" ht="14.4" thickBot="1" x14ac:dyDescent="0.3">
      <c r="A33" s="72"/>
      <c r="B33" s="10"/>
      <c r="C33" s="10"/>
      <c r="D33" s="12"/>
      <c r="E33" s="12"/>
      <c r="F33" s="546"/>
      <c r="G33" s="546"/>
    </row>
    <row r="34" spans="1:7" ht="14.4" thickBot="1" x14ac:dyDescent="0.3">
      <c r="A34" s="72"/>
      <c r="B34" s="10"/>
      <c r="C34" s="10"/>
      <c r="D34" s="12"/>
      <c r="E34" s="12"/>
      <c r="F34" s="546"/>
      <c r="G34" s="546"/>
    </row>
    <row r="35" spans="1:7" ht="14.4" thickBot="1" x14ac:dyDescent="0.3">
      <c r="A35" s="72"/>
      <c r="B35" s="10"/>
      <c r="C35" s="10"/>
      <c r="D35" s="12"/>
      <c r="E35" s="12"/>
      <c r="F35" s="546"/>
      <c r="G35" s="546"/>
    </row>
    <row r="36" spans="1:7" ht="35.549999999999997" customHeight="1" thickBot="1" x14ac:dyDescent="0.3">
      <c r="A36" s="72"/>
      <c r="B36" s="10"/>
      <c r="C36" s="10"/>
      <c r="D36" s="12"/>
      <c r="E36" s="12"/>
      <c r="F36" s="546"/>
      <c r="G36" s="546">
        <f>SUM(G17:G35)</f>
        <v>1452825</v>
      </c>
    </row>
    <row r="37" spans="1:7" ht="35.549999999999997" customHeight="1" thickBot="1" x14ac:dyDescent="0.3">
      <c r="A37" s="1117" t="s">
        <v>1109</v>
      </c>
      <c r="B37" s="1118"/>
      <c r="C37" s="1118"/>
      <c r="D37" s="1118"/>
      <c r="E37" s="1118"/>
      <c r="F37" s="1119"/>
      <c r="G37" s="867"/>
    </row>
  </sheetData>
  <mergeCells count="15">
    <mergeCell ref="G15:G16"/>
    <mergeCell ref="A17:E17"/>
    <mergeCell ref="A37:F37"/>
    <mergeCell ref="A14:F14"/>
    <mergeCell ref="B15:B16"/>
    <mergeCell ref="C15:C16"/>
    <mergeCell ref="D15:D16"/>
    <mergeCell ref="E15:E16"/>
    <mergeCell ref="F15:F16"/>
    <mergeCell ref="G2:G3"/>
    <mergeCell ref="B2:B3"/>
    <mergeCell ref="C2:C3"/>
    <mergeCell ref="D2:D3"/>
    <mergeCell ref="E2:E3"/>
    <mergeCell ref="F2:F3"/>
  </mergeCells>
  <pageMargins left="0.70866141732283472" right="0.70866141732283472" top="0.74803149606299213" bottom="0.74803149606299213" header="0.31496062992125984" footer="0.31496062992125984"/>
  <pageSetup paperSize="9" scale="80" fitToHeight="0" orientation="portrait" r:id="rId1"/>
  <rowBreaks count="1" manualBreakCount="1">
    <brk id="1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1B4FC73CF653E49BA7A57FF7D663AE8" ma:contentTypeVersion="15" ma:contentTypeDescription="Create a new document." ma:contentTypeScope="" ma:versionID="55d8cb4e74b84c01ca65d36dfc7e1994">
  <xsd:schema xmlns:xsd="http://www.w3.org/2001/XMLSchema" xmlns:xs="http://www.w3.org/2001/XMLSchema" xmlns:p="http://schemas.microsoft.com/office/2006/metadata/properties" xmlns:ns2="1cdcdb8c-8223-4096-a960-1b7b26f62f9f" xmlns:ns3="99686956-c105-4549-b62b-7f4b01ab3f94" targetNamespace="http://schemas.microsoft.com/office/2006/metadata/properties" ma:root="true" ma:fieldsID="9840f2017b87b74abbbe488e250bcf18" ns2:_="" ns3:_="">
    <xsd:import namespace="1cdcdb8c-8223-4096-a960-1b7b26f62f9f"/>
    <xsd:import namespace="99686956-c105-4549-b62b-7f4b01ab3f94"/>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dcdb8c-8223-4096-a960-1b7b26f62f9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c60cb8de-8ad4-4a57-994f-82add51a32a4}" ma:internalName="TaxCatchAll" ma:showField="CatchAllData" ma:web="1cdcdb8c-8223-4096-a960-1b7b26f62f9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686956-c105-4549-b62b-7f4b01ab3f9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9291682-d953-47c4-a5d9-11762076366e"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9686956-c105-4549-b62b-7f4b01ab3f94">
      <Terms xmlns="http://schemas.microsoft.com/office/infopath/2007/PartnerControls"/>
    </lcf76f155ced4ddcb4097134ff3c332f>
    <TaxCatchAll xmlns="1cdcdb8c-8223-4096-a960-1b7b26f62f9f" xsi:nil="true"/>
    <SharedWithUsers xmlns="1cdcdb8c-8223-4096-a960-1b7b26f62f9f">
      <UserInfo>
        <DisplayName/>
        <AccountId xsi:nil="true"/>
        <AccountType/>
      </UserInfo>
    </SharedWithUsers>
  </documentManagement>
</p:properties>
</file>

<file path=customXml/itemProps1.xml><?xml version="1.0" encoding="utf-8"?>
<ds:datastoreItem xmlns:ds="http://schemas.openxmlformats.org/officeDocument/2006/customXml" ds:itemID="{9FA76742-BEAB-4ACB-90F3-FDE763D33D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dcdb8c-8223-4096-a960-1b7b26f62f9f"/>
    <ds:schemaRef ds:uri="99686956-c105-4549-b62b-7f4b01ab3f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090DA7-E62D-4490-97D0-C6E868BEB70F}">
  <ds:schemaRefs>
    <ds:schemaRef ds:uri="http://schemas.microsoft.com/sharepoint/v3/contenttype/forms"/>
  </ds:schemaRefs>
</ds:datastoreItem>
</file>

<file path=customXml/itemProps3.xml><?xml version="1.0" encoding="utf-8"?>
<ds:datastoreItem xmlns:ds="http://schemas.openxmlformats.org/officeDocument/2006/customXml" ds:itemID="{6A1F5821-FC62-4336-BA23-27F48959F952}">
  <ds:schemaRefs>
    <ds:schemaRef ds:uri="http://schemas.microsoft.com/office/2006/metadata/properties"/>
    <ds:schemaRef ds:uri="http://schemas.microsoft.com/office/infopath/2007/PartnerControls"/>
    <ds:schemaRef ds:uri="99686956-c105-4549-b62b-7f4b01ab3f94"/>
    <ds:schemaRef ds:uri="1cdcdb8c-8223-4096-a960-1b7b26f62f9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54</vt:i4>
      </vt:variant>
      <vt:variant>
        <vt:lpstr>Named Ranges</vt:lpstr>
      </vt:variant>
      <vt:variant>
        <vt:i4>29</vt:i4>
      </vt:variant>
    </vt:vector>
  </HeadingPairs>
  <TitlesOfParts>
    <vt:vector size="83" baseType="lpstr">
      <vt:lpstr>Summary With Fees </vt:lpstr>
      <vt:lpstr> Summary final</vt:lpstr>
      <vt:lpstr>Summary With Fees 2023</vt:lpstr>
      <vt:lpstr>Summary</vt:lpstr>
      <vt:lpstr>Fees </vt:lpstr>
      <vt:lpstr>Sheet3</vt:lpstr>
      <vt:lpstr>Sheet4</vt:lpstr>
      <vt:lpstr>Sheet5</vt:lpstr>
      <vt:lpstr>Sheet6</vt:lpstr>
      <vt:lpstr>Sheet7</vt:lpstr>
      <vt:lpstr>Sheet8</vt:lpstr>
      <vt:lpstr>Sheet9</vt:lpstr>
      <vt:lpstr>Sheet10</vt:lpstr>
      <vt:lpstr>Sheet11</vt:lpstr>
      <vt:lpstr>Sheet12</vt:lpstr>
      <vt:lpstr>Sheet13</vt:lpstr>
      <vt:lpstr>Sheet14</vt:lpstr>
      <vt:lpstr>Sheet15</vt:lpstr>
      <vt:lpstr>Sheet16</vt:lpstr>
      <vt:lpstr>Sheet17</vt:lpstr>
      <vt:lpstr>Sheet18</vt:lpstr>
      <vt:lpstr>Sheet19</vt:lpstr>
      <vt:lpstr>Sheet20</vt:lpstr>
      <vt:lpstr>Sheet21</vt:lpstr>
      <vt:lpstr>Sheet22</vt:lpstr>
      <vt:lpstr>Sheet23</vt:lpstr>
      <vt:lpstr>Sheet24</vt:lpstr>
      <vt:lpstr>Sheet25</vt:lpstr>
      <vt:lpstr>Sheet26</vt:lpstr>
      <vt:lpstr>Sheet27</vt:lpstr>
      <vt:lpstr>Sheet28</vt:lpstr>
      <vt:lpstr>Preliminaries</vt:lpstr>
      <vt:lpstr>Earthworks</vt:lpstr>
      <vt:lpstr>Site Clearance </vt:lpstr>
      <vt:lpstr>Site Clearance Old</vt:lpstr>
      <vt:lpstr>Earthworks OLD</vt:lpstr>
      <vt:lpstr>Excavation &amp; Control Trench </vt:lpstr>
      <vt:lpstr>Excavation &amp; Control Trench old</vt:lpstr>
      <vt:lpstr>Concrete</vt:lpstr>
      <vt:lpstr>Structural Steel Work</vt:lpstr>
      <vt:lpstr>Cable Duct</vt:lpstr>
      <vt:lpstr>Storm Water Drainage </vt:lpstr>
      <vt:lpstr>Storm Water Drainage OLD</vt:lpstr>
      <vt:lpstr>Facilities</vt:lpstr>
      <vt:lpstr>Substation Fencing</vt:lpstr>
      <vt:lpstr>Installation of Earth Grid</vt:lpstr>
      <vt:lpstr>MV Metal Clad Sw Gear</vt:lpstr>
      <vt:lpstr>General Electrical</vt:lpstr>
      <vt:lpstr>Outdoor Equipment</vt:lpstr>
      <vt:lpstr>MV Cable Work</vt:lpstr>
      <vt:lpstr>Conductor Stringing</vt:lpstr>
      <vt:lpstr>Install Clamps</vt:lpstr>
      <vt:lpstr>Commissioning </vt:lpstr>
      <vt:lpstr>Access Road</vt:lpstr>
      <vt:lpstr>Earthworks!OLE_LINK1</vt:lpstr>
      <vt:lpstr>'Earthworks OLD'!OLE_LINK1</vt:lpstr>
      <vt:lpstr>' Summary final'!Print_Area</vt:lpstr>
      <vt:lpstr>'Access Road'!Print_Area</vt:lpstr>
      <vt:lpstr>'Cable Duct'!Print_Area</vt:lpstr>
      <vt:lpstr>'Commissioning '!Print_Area</vt:lpstr>
      <vt:lpstr>Concrete!Print_Area</vt:lpstr>
      <vt:lpstr>'Conductor Stringing'!Print_Area</vt:lpstr>
      <vt:lpstr>Earthworks!Print_Area</vt:lpstr>
      <vt:lpstr>'Earthworks OLD'!Print_Area</vt:lpstr>
      <vt:lpstr>'Excavation &amp; Control Trench '!Print_Area</vt:lpstr>
      <vt:lpstr>'Excavation &amp; Control Trench old'!Print_Area</vt:lpstr>
      <vt:lpstr>Facilities!Print_Area</vt:lpstr>
      <vt:lpstr>'Fees '!Print_Area</vt:lpstr>
      <vt:lpstr>'General Electrical'!Print_Area</vt:lpstr>
      <vt:lpstr>'Install Clamps'!Print_Area</vt:lpstr>
      <vt:lpstr>'Installation of Earth Grid'!Print_Area</vt:lpstr>
      <vt:lpstr>'MV Cable Work'!Print_Area</vt:lpstr>
      <vt:lpstr>'MV Metal Clad Sw Gear'!Print_Area</vt:lpstr>
      <vt:lpstr>'Outdoor Equipment'!Print_Area</vt:lpstr>
      <vt:lpstr>Preliminaries!Print_Area</vt:lpstr>
      <vt:lpstr>'Site Clearance '!Print_Area</vt:lpstr>
      <vt:lpstr>'Site Clearance Old'!Print_Area</vt:lpstr>
      <vt:lpstr>'Storm Water Drainage '!Print_Area</vt:lpstr>
      <vt:lpstr>'Storm Water Drainage OLD'!Print_Area</vt:lpstr>
      <vt:lpstr>'Structural Steel Work'!Print_Area</vt:lpstr>
      <vt:lpstr>'Substation Fencing'!Print_Area</vt:lpstr>
      <vt:lpstr>'Summary With Fees '!Print_Area</vt:lpstr>
      <vt:lpstr>'Summary With Fees 2023'!Print_Area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Jabulane mathebule</dc:creator>
  <cp:lastModifiedBy>Thabo Ntimotse</cp:lastModifiedBy>
  <cp:lastPrinted>2023-05-02T11:19:19Z</cp:lastPrinted>
  <dcterms:created xsi:type="dcterms:W3CDTF">2009-12-22T13:24:15Z</dcterms:created>
  <dcterms:modified xsi:type="dcterms:W3CDTF">2026-03-06T08:08:23Z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0x01010071B4FC73CF653E49BA7A57FF7D663AE8</vt:lpwstr>
  </property>
  <property fmtid="{D5CDD505-2E9C-101B-9397-08002B2CF9AE}" pid="3" name="Order">
    <vt:r8>4500</vt:r8>
  </property>
  <property fmtid="{D5CDD505-2E9C-101B-9397-08002B2CF9AE}" pid="4" name="_ExtendedDescription">
    <vt:lpwstr/>
  </property>
  <property fmtid="{D5CDD505-2E9C-101B-9397-08002B2CF9AE}" pid="5" name="TriggerFlowInfo">
    <vt:lpwstr/>
  </property>
  <property fmtid="{D5CDD505-2E9C-101B-9397-08002B2CF9AE}" pid="6" name="_SourceUrl">
    <vt:lpwstr/>
  </property>
  <property fmtid="{D5CDD505-2E9C-101B-9397-08002B2CF9AE}" pid="7" name="_SharedFileIndex">
    <vt:lpwstr/>
  </property>
  <property fmtid="{D5CDD505-2E9C-101B-9397-08002B2CF9AE}" pid="8" name="ComplianceAssetId">
    <vt:lpwstr/>
  </property>
</Properties>
</file>