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66925"/>
  <mc:AlternateContent xmlns:mc="http://schemas.openxmlformats.org/markup-compatibility/2006">
    <mc:Choice Requires="x15">
      <x15ac:absPath xmlns:x15ac="http://schemas.microsoft.com/office/spreadsheetml/2010/11/ac" url="C:\Users\lekotonk\Documents\Dx CET Project\Enquiry\ITT Pack\"/>
    </mc:Choice>
  </mc:AlternateContent>
  <xr:revisionPtr revIDLastSave="0" documentId="8_{01B4941B-9536-4232-9DEC-D3E9975C2B0B}" xr6:coauthVersionLast="47" xr6:coauthVersionMax="47" xr10:uidLastSave="{00000000-0000-0000-0000-000000000000}"/>
  <bookViews>
    <workbookView xWindow="-110" yWindow="-110" windowWidth="19420" windowHeight="10420" tabRatio="798" activeTab="2" xr2:uid="{6AB06D46-ECAF-45E5-AA7D-E1511A4F9394}"/>
  </bookViews>
  <sheets>
    <sheet name="Response Guidlines" sheetId="2" r:id="rId1"/>
    <sheet name="Gate keepers" sheetId="25" state="hidden" r:id="rId2"/>
    <sheet name="Scoring Summary" sheetId="3" r:id="rId3"/>
    <sheet name="Key Requirements" sheetId="4" r:id="rId4"/>
    <sheet name="Project Management" sheetId="13" r:id="rId5"/>
    <sheet name="Functional - VW" sheetId="5" r:id="rId6"/>
    <sheet name="Functional - VW - BK" sheetId="14" state="hidden" r:id="rId7"/>
    <sheet name="Functional - CET" sheetId="12" r:id="rId8"/>
    <sheet name="Non-Functional" sheetId="24" r:id="rId9"/>
    <sheet name="Functional - CET opt 2" sheetId="17" state="hidden" r:id="rId10"/>
    <sheet name="Integration" sheetId="7" state="hidden" r:id="rId11"/>
    <sheet name="Testing" sheetId="8" state="hidden" r:id="rId12"/>
    <sheet name="Security" sheetId="9" r:id="rId13"/>
    <sheet name="SEC - Sheet1" sheetId="35" state="hidden" r:id="rId14"/>
    <sheet name="Architecture" sheetId="30" r:id="rId15"/>
    <sheet name="Cloud" sheetId="27" r:id="rId16"/>
    <sheet name="Cloud - 20241008 with errors" sheetId="33" state="hidden" r:id="rId17"/>
    <sheet name="Demo - VW" sheetId="10" r:id="rId18"/>
    <sheet name="Demo - CET old - 20250205" sheetId="20" state="hidden" r:id="rId19"/>
    <sheet name="Demo - CET - old" sheetId="16" state="hidden" r:id="rId20"/>
    <sheet name="Demo - CET options 1 &amp; 2" sheetId="18" state="hidden" r:id="rId21"/>
    <sheet name="Demo - CET options 3 &amp; 4" sheetId="19" state="hidden" r:id="rId22"/>
    <sheet name="Demo - CET" sheetId="34" r:id="rId23"/>
    <sheet name="Definitions and Abbreviations" sheetId="11" r:id="rId24"/>
    <sheet name="Top energy providers" sheetId="26" r:id="rId25"/>
    <sheet name="Sheet2" sheetId="21" state="hidden" r:id="rId26"/>
  </sheets>
  <externalReferences>
    <externalReference r:id="rId27"/>
    <externalReference r:id="rId28"/>
  </externalReferences>
  <definedNames>
    <definedName name="_xlnm._FilterDatabase" localSheetId="15" hidden="1">Cloud!$A$10:$O$88</definedName>
    <definedName name="_xlnm._FilterDatabase" localSheetId="16" hidden="1">'Cloud - 20241008 with errors'!$A$15:$O$131</definedName>
    <definedName name="_xlnm._FilterDatabase" localSheetId="17" hidden="1">'Demo - VW'!$C$11:$K$47</definedName>
    <definedName name="_xlnm._FilterDatabase" localSheetId="7" hidden="1">'Functional - CET'!$B$11:$P$58</definedName>
    <definedName name="_xlnm._FilterDatabase" localSheetId="9" hidden="1">'Functional - CET opt 2'!$A$16:$N$57</definedName>
    <definedName name="_xlnm._FilterDatabase" localSheetId="5" hidden="1">'Functional - VW'!$A$11:$N$78</definedName>
    <definedName name="_xlnm._FilterDatabase" localSheetId="6" hidden="1">'Functional - VW - BK'!$A$16:$N$192</definedName>
    <definedName name="Priority" localSheetId="0">[1]Config!$E$3:$E$9</definedName>
    <definedName name="Priority">[2]Config!$E$3:$E$9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 i="3" l="1"/>
  <c r="H52" i="9"/>
  <c r="H50" i="9"/>
  <c r="H48" i="9"/>
  <c r="H46" i="9"/>
  <c r="H44" i="9"/>
  <c r="H42" i="9"/>
  <c r="H40" i="9"/>
  <c r="H36" i="9"/>
  <c r="H34" i="9"/>
  <c r="H32" i="9"/>
  <c r="H30" i="9"/>
  <c r="H28" i="9"/>
  <c r="H26" i="9"/>
  <c r="H24" i="9"/>
  <c r="H12" i="9"/>
  <c r="H22" i="9"/>
  <c r="F36" i="10"/>
  <c r="H14" i="9"/>
  <c r="H16" i="9"/>
  <c r="H18" i="9"/>
  <c r="H20" i="9"/>
  <c r="H38" i="9"/>
  <c r="J47" i="10"/>
  <c r="F30" i="3" s="1"/>
  <c r="J83" i="24"/>
  <c r="D4" i="10"/>
  <c r="D4" i="34"/>
  <c r="L43" i="4"/>
  <c r="H40" i="4"/>
  <c r="H37" i="4"/>
  <c r="H43" i="4"/>
  <c r="I40" i="4"/>
  <c r="I37" i="4"/>
  <c r="K37" i="4"/>
  <c r="K38" i="4"/>
  <c r="K40" i="4"/>
  <c r="K41" i="4"/>
  <c r="M83" i="24"/>
  <c r="F21" i="3" s="1"/>
  <c r="F26" i="3" s="1"/>
  <c r="I78" i="24"/>
  <c r="I75" i="24"/>
  <c r="J49" i="34"/>
  <c r="J48" i="34"/>
  <c r="J47" i="34"/>
  <c r="F47" i="34"/>
  <c r="J46" i="34"/>
  <c r="J45" i="34"/>
  <c r="J44" i="34"/>
  <c r="J43" i="34"/>
  <c r="J42" i="34"/>
  <c r="F42" i="34"/>
  <c r="J41" i="34"/>
  <c r="J40" i="34"/>
  <c r="J39" i="34"/>
  <c r="J38" i="34"/>
  <c r="F38" i="34"/>
  <c r="J37" i="34"/>
  <c r="J36" i="34"/>
  <c r="J35" i="34"/>
  <c r="J34" i="34"/>
  <c r="J33" i="34"/>
  <c r="J32" i="34"/>
  <c r="F32" i="34"/>
  <c r="J31" i="34"/>
  <c r="J30" i="34"/>
  <c r="J29" i="34"/>
  <c r="J28" i="34"/>
  <c r="J27" i="34"/>
  <c r="J26" i="34"/>
  <c r="F26" i="34"/>
  <c r="J25" i="34"/>
  <c r="J24" i="34"/>
  <c r="J23" i="34"/>
  <c r="J22" i="34"/>
  <c r="J21" i="34"/>
  <c r="F21" i="34"/>
  <c r="J20" i="34"/>
  <c r="J19" i="34"/>
  <c r="J18" i="34"/>
  <c r="J17" i="34"/>
  <c r="J16" i="34"/>
  <c r="J15" i="34"/>
  <c r="J14" i="34"/>
  <c r="F14" i="34"/>
  <c r="J13" i="34"/>
  <c r="J12" i="34"/>
  <c r="F12" i="34"/>
  <c r="D7" i="34"/>
  <c r="D6" i="34"/>
  <c r="D5" i="34"/>
  <c r="D3" i="34"/>
  <c r="D2" i="34"/>
  <c r="L40" i="8"/>
  <c r="F18" i="3"/>
  <c r="M89" i="27"/>
  <c r="F24" i="3"/>
  <c r="M131" i="33"/>
  <c r="I63" i="33"/>
  <c r="I60" i="33"/>
  <c r="I57" i="33"/>
  <c r="I53" i="33"/>
  <c r="I50" i="33"/>
  <c r="I47" i="33"/>
  <c r="I43" i="33"/>
  <c r="I41" i="33"/>
  <c r="I39" i="33"/>
  <c r="I37" i="33"/>
  <c r="I34" i="33"/>
  <c r="I31" i="33"/>
  <c r="I29" i="33"/>
  <c r="I26" i="33"/>
  <c r="I21" i="33"/>
  <c r="I19" i="33"/>
  <c r="I17" i="33"/>
  <c r="D7" i="33"/>
  <c r="D6" i="33"/>
  <c r="D5" i="33"/>
  <c r="D4" i="33"/>
  <c r="D3" i="33"/>
  <c r="D2" i="33"/>
  <c r="K38" i="34"/>
  <c r="K21" i="34"/>
  <c r="K42" i="34"/>
  <c r="K26" i="34"/>
  <c r="K32" i="34"/>
  <c r="K12" i="34"/>
  <c r="F50" i="34"/>
  <c r="G21" i="34"/>
  <c r="I131" i="33"/>
  <c r="J29" i="33"/>
  <c r="L29" i="33"/>
  <c r="G14" i="34"/>
  <c r="N14" i="34"/>
  <c r="G26" i="34"/>
  <c r="G38" i="34"/>
  <c r="G32" i="34"/>
  <c r="G47" i="34"/>
  <c r="G12" i="34"/>
  <c r="G42" i="34"/>
  <c r="J80" i="33"/>
  <c r="L80" i="33"/>
  <c r="L81" i="33"/>
  <c r="J102" i="33"/>
  <c r="L102" i="33"/>
  <c r="L103" i="33"/>
  <c r="J114" i="33"/>
  <c r="L114" i="33"/>
  <c r="L115" i="33"/>
  <c r="J99" i="33"/>
  <c r="L99" i="33"/>
  <c r="L100" i="33"/>
  <c r="J111" i="33"/>
  <c r="L111" i="33"/>
  <c r="L112" i="33"/>
  <c r="J34" i="33"/>
  <c r="L35" i="33"/>
  <c r="J93" i="33"/>
  <c r="L94" i="33"/>
  <c r="J31" i="33"/>
  <c r="L31" i="33"/>
  <c r="L32" i="33"/>
  <c r="J60" i="33"/>
  <c r="L60" i="33"/>
  <c r="L61" i="33"/>
  <c r="J105" i="33"/>
  <c r="L105" i="33"/>
  <c r="L106" i="33"/>
  <c r="J57" i="33"/>
  <c r="L57" i="33"/>
  <c r="L58" i="33"/>
  <c r="J96" i="33"/>
  <c r="L96" i="33"/>
  <c r="L97" i="33"/>
  <c r="J117" i="33"/>
  <c r="L117" i="33"/>
  <c r="L118" i="33"/>
  <c r="J39" i="33"/>
  <c r="L39" i="33"/>
  <c r="J69" i="33"/>
  <c r="L69" i="33"/>
  <c r="L70" i="33"/>
  <c r="J17" i="33"/>
  <c r="L17" i="33"/>
  <c r="J19" i="33"/>
  <c r="L19" i="33"/>
  <c r="J125" i="33"/>
  <c r="L125" i="33"/>
  <c r="L126" i="33"/>
  <c r="J72" i="33"/>
  <c r="L72" i="33"/>
  <c r="L73" i="33"/>
  <c r="J63" i="33"/>
  <c r="J26" i="33"/>
  <c r="L26" i="33"/>
  <c r="L27" i="33"/>
  <c r="J83" i="33"/>
  <c r="L83" i="33"/>
  <c r="L84" i="33"/>
  <c r="J50" i="33"/>
  <c r="L50" i="33"/>
  <c r="L51" i="33"/>
  <c r="J21" i="33"/>
  <c r="L21" i="33"/>
  <c r="L24" i="33"/>
  <c r="J53" i="33"/>
  <c r="L53" i="33"/>
  <c r="L55" i="33"/>
  <c r="J41" i="33"/>
  <c r="L41" i="33"/>
  <c r="J108" i="33"/>
  <c r="L108" i="33"/>
  <c r="L109" i="33"/>
  <c r="J120" i="33"/>
  <c r="L120" i="33"/>
  <c r="L123" i="33"/>
  <c r="J47" i="33"/>
  <c r="L47" i="33"/>
  <c r="L48" i="33"/>
  <c r="J43" i="33"/>
  <c r="L43" i="33"/>
  <c r="L45" i="33"/>
  <c r="J37" i="33"/>
  <c r="L37" i="33"/>
  <c r="J128" i="33"/>
  <c r="L128" i="33"/>
  <c r="L129" i="33"/>
  <c r="J86" i="33"/>
  <c r="L87" i="33"/>
  <c r="L88" i="33"/>
  <c r="J75" i="33"/>
  <c r="L75" i="33"/>
  <c r="L78" i="33"/>
  <c r="J90" i="33"/>
  <c r="L90" i="33"/>
  <c r="L91" i="33"/>
  <c r="L95" i="33"/>
  <c r="L34" i="33"/>
  <c r="L36" i="33"/>
  <c r="G50" i="34"/>
  <c r="L76" i="33"/>
  <c r="L77" i="33"/>
  <c r="L22" i="33"/>
  <c r="L23" i="33"/>
  <c r="L89" i="33"/>
  <c r="L54" i="33"/>
  <c r="J131" i="33"/>
  <c r="L44" i="33"/>
  <c r="L121" i="33"/>
  <c r="L122" i="33"/>
  <c r="L64" i="33"/>
  <c r="L66" i="33"/>
  <c r="L67" i="33"/>
  <c r="L65" i="33"/>
  <c r="L68" i="33"/>
  <c r="H48" i="30"/>
  <c r="H45" i="30"/>
  <c r="H42" i="30"/>
  <c r="H39" i="30"/>
  <c r="H36" i="30"/>
  <c r="H33" i="30"/>
  <c r="H30" i="30"/>
  <c r="H24" i="30"/>
  <c r="H27" i="30"/>
  <c r="H21" i="30"/>
  <c r="H18" i="30"/>
  <c r="H15" i="30"/>
  <c r="L51" i="30"/>
  <c r="F23" i="3"/>
  <c r="F25" i="3"/>
  <c r="H12" i="30"/>
  <c r="H51" i="30"/>
  <c r="I21" i="30"/>
  <c r="K21" i="30"/>
  <c r="K22" i="30"/>
  <c r="I48" i="30"/>
  <c r="K48" i="30"/>
  <c r="K49" i="30"/>
  <c r="I45" i="30"/>
  <c r="K45" i="30"/>
  <c r="K46" i="30"/>
  <c r="I42" i="30"/>
  <c r="K42" i="30"/>
  <c r="K43" i="30"/>
  <c r="I27" i="30"/>
  <c r="K27" i="30"/>
  <c r="K28" i="30"/>
  <c r="I39" i="30"/>
  <c r="K39" i="30"/>
  <c r="K40" i="30"/>
  <c r="I30" i="30"/>
  <c r="K30" i="30"/>
  <c r="K31" i="30"/>
  <c r="I24" i="30"/>
  <c r="K24" i="30"/>
  <c r="K25" i="30"/>
  <c r="I36" i="30"/>
  <c r="K36" i="30"/>
  <c r="K37" i="30"/>
  <c r="I12" i="30"/>
  <c r="I33" i="30"/>
  <c r="K33" i="30"/>
  <c r="K34" i="30"/>
  <c r="I18" i="30"/>
  <c r="K18" i="30"/>
  <c r="K19" i="30"/>
  <c r="I15" i="30"/>
  <c r="K15" i="30"/>
  <c r="K16" i="30"/>
  <c r="I51" i="30"/>
  <c r="C2" i="30"/>
  <c r="C3" i="30"/>
  <c r="C4" i="30"/>
  <c r="C5" i="30"/>
  <c r="C6" i="30"/>
  <c r="C7" i="30"/>
  <c r="I36" i="27"/>
  <c r="I33" i="27"/>
  <c r="I30" i="27"/>
  <c r="I28" i="27"/>
  <c r="I26" i="27"/>
  <c r="I24" i="27"/>
  <c r="I21" i="27"/>
  <c r="I19" i="27"/>
  <c r="I16" i="27"/>
  <c r="I14" i="27"/>
  <c r="I12" i="27"/>
  <c r="D7" i="27"/>
  <c r="D6" i="27"/>
  <c r="D5" i="27"/>
  <c r="D4" i="27"/>
  <c r="D3" i="27"/>
  <c r="D2" i="27"/>
  <c r="I60" i="24"/>
  <c r="I89" i="27"/>
  <c r="I22" i="24"/>
  <c r="I25" i="13"/>
  <c r="J33" i="27"/>
  <c r="L33" i="27"/>
  <c r="J14" i="27"/>
  <c r="L14" i="27"/>
  <c r="J30" i="27"/>
  <c r="L30" i="27"/>
  <c r="J24" i="27"/>
  <c r="L24" i="27"/>
  <c r="J16" i="27"/>
  <c r="L16" i="27"/>
  <c r="J77" i="27"/>
  <c r="L77" i="27"/>
  <c r="J65" i="27"/>
  <c r="L65" i="27"/>
  <c r="J68" i="27"/>
  <c r="L68" i="27"/>
  <c r="J86" i="27"/>
  <c r="L86" i="27"/>
  <c r="J56" i="27"/>
  <c r="L56" i="27"/>
  <c r="J62" i="27"/>
  <c r="L62" i="27"/>
  <c r="J80" i="27"/>
  <c r="L80" i="27"/>
  <c r="J46" i="27"/>
  <c r="L46" i="27"/>
  <c r="J49" i="27"/>
  <c r="L49" i="27"/>
  <c r="J74" i="27"/>
  <c r="L74" i="27"/>
  <c r="J43" i="27"/>
  <c r="L43" i="27"/>
  <c r="J52" i="27"/>
  <c r="L53" i="27"/>
  <c r="J71" i="27"/>
  <c r="L71" i="27"/>
  <c r="J40" i="27"/>
  <c r="L40" i="27"/>
  <c r="J59" i="27"/>
  <c r="J83" i="27"/>
  <c r="L83" i="27"/>
  <c r="J21" i="27"/>
  <c r="L21" i="27"/>
  <c r="J12" i="27"/>
  <c r="J28" i="27"/>
  <c r="L28" i="27"/>
  <c r="J19" i="27"/>
  <c r="L19" i="27"/>
  <c r="J36" i="27"/>
  <c r="L36" i="27"/>
  <c r="J26" i="27"/>
  <c r="L26" i="27"/>
  <c r="N53" i="12"/>
  <c r="N54" i="12"/>
  <c r="N55" i="12"/>
  <c r="N56" i="12"/>
  <c r="N57" i="12"/>
  <c r="N52" i="12"/>
  <c r="N48" i="12"/>
  <c r="N49" i="12"/>
  <c r="N50" i="12"/>
  <c r="N51" i="12"/>
  <c r="N47" i="12"/>
  <c r="N44" i="12"/>
  <c r="N45" i="12"/>
  <c r="N46" i="12"/>
  <c r="N43" i="12"/>
  <c r="N38" i="12"/>
  <c r="N39" i="12"/>
  <c r="N40" i="12"/>
  <c r="N41" i="12"/>
  <c r="N42" i="12"/>
  <c r="N37" i="12"/>
  <c r="N32" i="12"/>
  <c r="N33" i="12"/>
  <c r="N34" i="12"/>
  <c r="N35" i="12"/>
  <c r="N36" i="12"/>
  <c r="N31" i="12"/>
  <c r="N13" i="12"/>
  <c r="N14" i="12"/>
  <c r="N15" i="12"/>
  <c r="N12" i="12"/>
  <c r="I36" i="24"/>
  <c r="I71" i="24"/>
  <c r="I67" i="24"/>
  <c r="I65" i="24"/>
  <c r="I49" i="24"/>
  <c r="I47" i="24"/>
  <c r="I38" i="24"/>
  <c r="I33" i="24"/>
  <c r="I31" i="24"/>
  <c r="I29" i="24"/>
  <c r="I26" i="24"/>
  <c r="I18" i="24"/>
  <c r="I12" i="24"/>
  <c r="D7" i="24"/>
  <c r="D6" i="24"/>
  <c r="D5" i="24"/>
  <c r="D4" i="24"/>
  <c r="D3" i="24"/>
  <c r="D2" i="24"/>
  <c r="H12" i="13"/>
  <c r="H15" i="13"/>
  <c r="H18" i="13"/>
  <c r="H20" i="13"/>
  <c r="D26" i="3"/>
  <c r="I83" i="24"/>
  <c r="J78" i="24"/>
  <c r="L78" i="24"/>
  <c r="L79" i="24"/>
  <c r="L60" i="27"/>
  <c r="L61" i="27"/>
  <c r="L54" i="27"/>
  <c r="L55" i="27"/>
  <c r="L78" i="27"/>
  <c r="L44" i="27"/>
  <c r="L12" i="27"/>
  <c r="J89" i="27"/>
  <c r="L75" i="27"/>
  <c r="L17" i="27"/>
  <c r="L22" i="27"/>
  <c r="L81" i="27"/>
  <c r="L50" i="27"/>
  <c r="L84" i="27"/>
  <c r="L63" i="27"/>
  <c r="L31" i="27"/>
  <c r="L47" i="27"/>
  <c r="L41" i="27"/>
  <c r="L57" i="27"/>
  <c r="L72" i="27"/>
  <c r="L87" i="27"/>
  <c r="L34" i="27"/>
  <c r="L38" i="27"/>
  <c r="L37" i="27"/>
  <c r="L69" i="27"/>
  <c r="L66" i="27"/>
  <c r="H28" i="4"/>
  <c r="H16" i="4"/>
  <c r="H24" i="4"/>
  <c r="J75" i="24"/>
  <c r="L75" i="24"/>
  <c r="L76" i="24"/>
  <c r="J60" i="24"/>
  <c r="L62" i="24"/>
  <c r="J22" i="24"/>
  <c r="J36" i="24"/>
  <c r="L36" i="24"/>
  <c r="J31" i="24"/>
  <c r="L31" i="24"/>
  <c r="J38" i="24"/>
  <c r="J49" i="24"/>
  <c r="J26" i="24"/>
  <c r="J12" i="24"/>
  <c r="J47" i="24"/>
  <c r="L47" i="24"/>
  <c r="J65" i="24"/>
  <c r="L65" i="24"/>
  <c r="J33" i="24"/>
  <c r="L33" i="24"/>
  <c r="L34" i="24"/>
  <c r="J18" i="24"/>
  <c r="J71" i="24"/>
  <c r="L71" i="24"/>
  <c r="J29" i="24"/>
  <c r="L29" i="24"/>
  <c r="J67" i="24"/>
  <c r="L68" i="24"/>
  <c r="L17" i="24"/>
  <c r="L61" i="24"/>
  <c r="L64" i="24"/>
  <c r="L63" i="24"/>
  <c r="L70" i="24"/>
  <c r="L69" i="24"/>
  <c r="L27" i="24"/>
  <c r="L28" i="24"/>
  <c r="L56" i="24"/>
  <c r="L57" i="24"/>
  <c r="L58" i="24"/>
  <c r="L52" i="24"/>
  <c r="L53" i="24"/>
  <c r="L54" i="24"/>
  <c r="L55" i="24"/>
  <c r="L59" i="24"/>
  <c r="L50" i="24"/>
  <c r="L51" i="24"/>
  <c r="L46" i="24"/>
  <c r="L41" i="24"/>
  <c r="L43" i="24"/>
  <c r="L45" i="24"/>
  <c r="L39" i="24"/>
  <c r="L42" i="24"/>
  <c r="L44" i="24"/>
  <c r="L40" i="24"/>
  <c r="L24" i="24"/>
  <c r="L25" i="24"/>
  <c r="L23" i="24"/>
  <c r="L20" i="24"/>
  <c r="L21" i="24"/>
  <c r="L19" i="24"/>
  <c r="L14" i="24"/>
  <c r="L15" i="24"/>
  <c r="L16" i="24"/>
  <c r="L13" i="24"/>
  <c r="L73" i="24"/>
  <c r="L72" i="24"/>
  <c r="H34" i="4"/>
  <c r="F52" i="20"/>
  <c r="F47" i="20"/>
  <c r="F43" i="20"/>
  <c r="F37" i="20"/>
  <c r="F31" i="20"/>
  <c r="F26" i="20"/>
  <c r="F12" i="20"/>
  <c r="F16" i="20"/>
  <c r="D7" i="20"/>
  <c r="D6" i="20"/>
  <c r="D5" i="20"/>
  <c r="D4" i="20"/>
  <c r="D3" i="20"/>
  <c r="D2" i="20"/>
  <c r="E38" i="19"/>
  <c r="E37" i="19"/>
  <c r="E36" i="19"/>
  <c r="E35" i="19"/>
  <c r="E34" i="19"/>
  <c r="E33" i="19"/>
  <c r="E32" i="19"/>
  <c r="E31" i="19"/>
  <c r="E30" i="19"/>
  <c r="E29" i="19"/>
  <c r="J28" i="19"/>
  <c r="E28" i="19"/>
  <c r="E27" i="19"/>
  <c r="E26" i="19"/>
  <c r="E25" i="19"/>
  <c r="E24" i="19"/>
  <c r="E23" i="19"/>
  <c r="E22" i="19"/>
  <c r="E21" i="19"/>
  <c r="E20" i="19"/>
  <c r="E19" i="19"/>
  <c r="E18" i="19"/>
  <c r="J17" i="19"/>
  <c r="E17" i="19"/>
  <c r="D7" i="19"/>
  <c r="D6" i="19"/>
  <c r="D5" i="19"/>
  <c r="D4" i="19"/>
  <c r="D3" i="19"/>
  <c r="D2" i="19"/>
  <c r="J27" i="18"/>
  <c r="F22" i="18"/>
  <c r="F17" i="18"/>
  <c r="D7" i="18"/>
  <c r="D6" i="18"/>
  <c r="D5" i="18"/>
  <c r="D3" i="18"/>
  <c r="D2" i="18"/>
  <c r="M57" i="17"/>
  <c r="I52" i="17"/>
  <c r="I47" i="17"/>
  <c r="I42" i="17"/>
  <c r="I37" i="17"/>
  <c r="I32" i="17"/>
  <c r="I27" i="17"/>
  <c r="I22" i="17"/>
  <c r="I17" i="17"/>
  <c r="D7" i="17"/>
  <c r="D6" i="17"/>
  <c r="D5" i="17"/>
  <c r="D4" i="17"/>
  <c r="D3" i="17"/>
  <c r="D2" i="17"/>
  <c r="E57" i="12"/>
  <c r="E56" i="12"/>
  <c r="E55" i="12"/>
  <c r="E54" i="12"/>
  <c r="E53" i="12"/>
  <c r="J52" i="12"/>
  <c r="E52" i="12"/>
  <c r="E51" i="12"/>
  <c r="E50" i="12"/>
  <c r="E49" i="12"/>
  <c r="E48" i="12"/>
  <c r="E47" i="12"/>
  <c r="E46" i="12"/>
  <c r="E45" i="12"/>
  <c r="E44" i="12"/>
  <c r="E43" i="12"/>
  <c r="E42" i="12"/>
  <c r="E41" i="12"/>
  <c r="E40" i="12"/>
  <c r="E39" i="12"/>
  <c r="E38" i="12"/>
  <c r="E37" i="12"/>
  <c r="E36" i="12"/>
  <c r="E35" i="12"/>
  <c r="E34" i="12"/>
  <c r="E33" i="12"/>
  <c r="E32" i="12"/>
  <c r="E31" i="12"/>
  <c r="E30" i="12"/>
  <c r="E29" i="12"/>
  <c r="E28" i="12"/>
  <c r="E27" i="12"/>
  <c r="E26" i="12"/>
  <c r="E23" i="12"/>
  <c r="E24" i="12"/>
  <c r="E25" i="12"/>
  <c r="E22" i="12"/>
  <c r="E21" i="12"/>
  <c r="E20" i="12"/>
  <c r="E19" i="12"/>
  <c r="E18" i="12"/>
  <c r="E17" i="12"/>
  <c r="E16" i="12"/>
  <c r="E13" i="12"/>
  <c r="E14" i="12"/>
  <c r="E15" i="12"/>
  <c r="E12" i="12"/>
  <c r="F58" i="20"/>
  <c r="G52" i="20"/>
  <c r="J39" i="19"/>
  <c r="K28" i="19"/>
  <c r="F27" i="18"/>
  <c r="G22" i="18"/>
  <c r="I22" i="18"/>
  <c r="I57" i="17"/>
  <c r="J22" i="17"/>
  <c r="O52" i="12"/>
  <c r="O43" i="12"/>
  <c r="O47" i="12"/>
  <c r="O37" i="12"/>
  <c r="O31" i="12"/>
  <c r="J82" i="16"/>
  <c r="F77" i="16"/>
  <c r="F72" i="16"/>
  <c r="F67" i="16"/>
  <c r="F62" i="16"/>
  <c r="F57" i="16"/>
  <c r="F52" i="16"/>
  <c r="F47" i="16"/>
  <c r="F42" i="16"/>
  <c r="F37" i="16"/>
  <c r="F32" i="16"/>
  <c r="F27" i="16"/>
  <c r="F22" i="16"/>
  <c r="F17" i="16"/>
  <c r="D7" i="16"/>
  <c r="D6" i="16"/>
  <c r="D5" i="16"/>
  <c r="D3" i="16"/>
  <c r="D2" i="16"/>
  <c r="I72" i="5"/>
  <c r="I63" i="5"/>
  <c r="I60" i="5"/>
  <c r="I36" i="5"/>
  <c r="I27" i="5"/>
  <c r="F32" i="10"/>
  <c r="F30" i="10"/>
  <c r="F28" i="10"/>
  <c r="F26" i="10"/>
  <c r="F24" i="10"/>
  <c r="F20" i="10"/>
  <c r="F22" i="10"/>
  <c r="N30" i="19"/>
  <c r="N31" i="19"/>
  <c r="N33" i="19"/>
  <c r="N32" i="19"/>
  <c r="N34" i="19"/>
  <c r="N28" i="19"/>
  <c r="N29" i="19"/>
  <c r="N38" i="19"/>
  <c r="N35" i="19"/>
  <c r="N36" i="19"/>
  <c r="N37" i="19"/>
  <c r="J55" i="20"/>
  <c r="J56" i="20"/>
  <c r="J52" i="20"/>
  <c r="J54" i="20"/>
  <c r="J57" i="20"/>
  <c r="J53" i="20"/>
  <c r="G16" i="20"/>
  <c r="N16" i="20"/>
  <c r="G12" i="20"/>
  <c r="G31" i="20"/>
  <c r="G47" i="20"/>
  <c r="G43" i="20"/>
  <c r="G37" i="20"/>
  <c r="G26" i="20"/>
  <c r="J41" i="20"/>
  <c r="J40" i="20"/>
  <c r="J42" i="20"/>
  <c r="J37" i="20"/>
  <c r="J38" i="20"/>
  <c r="J39" i="20"/>
  <c r="J36" i="20"/>
  <c r="J32" i="20"/>
  <c r="J33" i="20"/>
  <c r="J34" i="20"/>
  <c r="J35" i="20"/>
  <c r="J31" i="20"/>
  <c r="J45" i="20"/>
  <c r="J46" i="20"/>
  <c r="J43" i="20"/>
  <c r="J44" i="20"/>
  <c r="J48" i="20"/>
  <c r="J49" i="20"/>
  <c r="J50" i="20"/>
  <c r="J47" i="20"/>
  <c r="J51" i="20"/>
  <c r="J27" i="20"/>
  <c r="J28" i="20"/>
  <c r="J29" i="20"/>
  <c r="J26" i="20"/>
  <c r="J30" i="20"/>
  <c r="J15" i="20"/>
  <c r="J12" i="20"/>
  <c r="J14" i="20"/>
  <c r="J13" i="20"/>
  <c r="K17" i="19"/>
  <c r="G17" i="18"/>
  <c r="I17" i="18"/>
  <c r="I19" i="18"/>
  <c r="I25" i="18"/>
  <c r="I24" i="18"/>
  <c r="I23" i="18"/>
  <c r="J27" i="17"/>
  <c r="L27" i="17"/>
  <c r="J47" i="17"/>
  <c r="L47" i="17"/>
  <c r="J42" i="17"/>
  <c r="L42" i="17"/>
  <c r="J52" i="17"/>
  <c r="L52" i="17"/>
  <c r="J37" i="17"/>
  <c r="L37" i="17"/>
  <c r="J17" i="17"/>
  <c r="J32" i="17"/>
  <c r="L32" i="17"/>
  <c r="L22" i="17"/>
  <c r="F82" i="16"/>
  <c r="G17" i="16"/>
  <c r="I17" i="16"/>
  <c r="H25" i="7"/>
  <c r="F14" i="10"/>
  <c r="I33" i="5"/>
  <c r="I18" i="5"/>
  <c r="I17" i="14"/>
  <c r="I22" i="14"/>
  <c r="I27" i="14"/>
  <c r="I32" i="14"/>
  <c r="I37" i="14"/>
  <c r="I42" i="14"/>
  <c r="I47" i="14"/>
  <c r="I52" i="14"/>
  <c r="I57" i="14"/>
  <c r="I62" i="14"/>
  <c r="I67" i="14"/>
  <c r="I72" i="14"/>
  <c r="I77" i="14"/>
  <c r="I82" i="14"/>
  <c r="I87" i="14"/>
  <c r="I92" i="14"/>
  <c r="I97" i="14"/>
  <c r="I102" i="14"/>
  <c r="I107" i="14"/>
  <c r="I112" i="14"/>
  <c r="I117" i="14"/>
  <c r="I122" i="14"/>
  <c r="I127" i="14"/>
  <c r="I132" i="14"/>
  <c r="I137" i="14"/>
  <c r="I142" i="14"/>
  <c r="I147" i="14"/>
  <c r="I152" i="14"/>
  <c r="I157" i="14"/>
  <c r="I162" i="14"/>
  <c r="I167" i="14"/>
  <c r="I172" i="14"/>
  <c r="I177" i="14"/>
  <c r="I182" i="14"/>
  <c r="I187" i="14"/>
  <c r="M192" i="14"/>
  <c r="D2" i="14"/>
  <c r="D3" i="14"/>
  <c r="D4" i="14"/>
  <c r="D5" i="14"/>
  <c r="D6" i="14"/>
  <c r="D7" i="14"/>
  <c r="I75" i="5"/>
  <c r="I45" i="5"/>
  <c r="I42" i="5"/>
  <c r="I39" i="5"/>
  <c r="I30" i="5"/>
  <c r="I24" i="5"/>
  <c r="I21" i="5"/>
  <c r="I15" i="5"/>
  <c r="J12" i="12"/>
  <c r="L23" i="13"/>
  <c r="C7" i="13"/>
  <c r="C6" i="13"/>
  <c r="C5" i="13"/>
  <c r="C4" i="13"/>
  <c r="C3" i="13"/>
  <c r="C2" i="13"/>
  <c r="J47" i="12"/>
  <c r="J43" i="12"/>
  <c r="J37" i="12"/>
  <c r="J31" i="12"/>
  <c r="J26" i="12"/>
  <c r="J16" i="12"/>
  <c r="D7" i="12"/>
  <c r="D6" i="12"/>
  <c r="D5" i="12"/>
  <c r="D4" i="12"/>
  <c r="D3" i="12"/>
  <c r="D2" i="12"/>
  <c r="I192" i="14"/>
  <c r="J172" i="14"/>
  <c r="L172" i="14"/>
  <c r="O28" i="19"/>
  <c r="H23" i="13"/>
  <c r="K39" i="19"/>
  <c r="N23" i="19"/>
  <c r="N24" i="19"/>
  <c r="N27" i="19"/>
  <c r="N25" i="19"/>
  <c r="N26" i="19"/>
  <c r="N17" i="19"/>
  <c r="N21" i="19"/>
  <c r="N18" i="19"/>
  <c r="N20" i="19"/>
  <c r="N22" i="19"/>
  <c r="N19" i="19"/>
  <c r="G58" i="20"/>
  <c r="J24" i="20"/>
  <c r="J25" i="20"/>
  <c r="J23" i="20"/>
  <c r="J17" i="20"/>
  <c r="J18" i="20"/>
  <c r="J19" i="20"/>
  <c r="J20" i="20"/>
  <c r="J21" i="20"/>
  <c r="J22" i="20"/>
  <c r="J16" i="20"/>
  <c r="K26" i="20"/>
  <c r="K12" i="20"/>
  <c r="K43" i="20"/>
  <c r="K31" i="20"/>
  <c r="K47" i="20"/>
  <c r="K37" i="20"/>
  <c r="K52" i="20"/>
  <c r="I18" i="18"/>
  <c r="I20" i="18"/>
  <c r="G27" i="18"/>
  <c r="L25" i="17"/>
  <c r="L24" i="17"/>
  <c r="L23" i="17"/>
  <c r="L35" i="17"/>
  <c r="L34" i="17"/>
  <c r="L33" i="17"/>
  <c r="L50" i="17"/>
  <c r="L49" i="17"/>
  <c r="L48" i="17"/>
  <c r="L40" i="17"/>
  <c r="L39" i="17"/>
  <c r="L38" i="17"/>
  <c r="L17" i="17"/>
  <c r="J57" i="17"/>
  <c r="L54" i="17"/>
  <c r="L53" i="17"/>
  <c r="L55" i="17"/>
  <c r="L45" i="17"/>
  <c r="L44" i="17"/>
  <c r="L43" i="17"/>
  <c r="L30" i="17"/>
  <c r="L29" i="17"/>
  <c r="L28" i="17"/>
  <c r="J162" i="14"/>
  <c r="L162" i="14"/>
  <c r="L165" i="14"/>
  <c r="J17" i="14"/>
  <c r="L17" i="14"/>
  <c r="J187" i="14"/>
  <c r="L187" i="14"/>
  <c r="L188" i="14"/>
  <c r="J182" i="14"/>
  <c r="L182" i="14"/>
  <c r="L184" i="14"/>
  <c r="J167" i="14"/>
  <c r="L167" i="14"/>
  <c r="L168" i="14"/>
  <c r="J142" i="14"/>
  <c r="L142" i="14"/>
  <c r="L145" i="14"/>
  <c r="J177" i="14"/>
  <c r="L177" i="14"/>
  <c r="L180" i="14"/>
  <c r="J152" i="14"/>
  <c r="L152" i="14"/>
  <c r="L155" i="14"/>
  <c r="G27" i="16"/>
  <c r="I27" i="16"/>
  <c r="I29" i="16"/>
  <c r="G32" i="16"/>
  <c r="I32" i="16"/>
  <c r="I35" i="16"/>
  <c r="G37" i="16"/>
  <c r="I37" i="16"/>
  <c r="I40" i="16"/>
  <c r="G42" i="16"/>
  <c r="I42" i="16"/>
  <c r="I43" i="16"/>
  <c r="G47" i="16"/>
  <c r="I47" i="16"/>
  <c r="I50" i="16"/>
  <c r="G62" i="16"/>
  <c r="I62" i="16"/>
  <c r="I65" i="16"/>
  <c r="G67" i="16"/>
  <c r="I67" i="16"/>
  <c r="I70" i="16"/>
  <c r="G72" i="16"/>
  <c r="I72" i="16"/>
  <c r="I74" i="16"/>
  <c r="G77" i="16"/>
  <c r="I77" i="16"/>
  <c r="I80" i="16"/>
  <c r="G57" i="16"/>
  <c r="I57" i="16"/>
  <c r="I59" i="16"/>
  <c r="G22" i="16"/>
  <c r="I22" i="16"/>
  <c r="I24" i="16"/>
  <c r="G52" i="16"/>
  <c r="I52" i="16"/>
  <c r="I53" i="16"/>
  <c r="I20" i="16"/>
  <c r="I19" i="16"/>
  <c r="I18" i="16"/>
  <c r="J147" i="14"/>
  <c r="L147" i="14"/>
  <c r="J97" i="14"/>
  <c r="L97" i="14"/>
  <c r="J27" i="14"/>
  <c r="L27" i="14"/>
  <c r="J157" i="14"/>
  <c r="L157" i="14"/>
  <c r="J127" i="14"/>
  <c r="L127" i="14"/>
  <c r="J117" i="14"/>
  <c r="L117" i="14"/>
  <c r="J87" i="14"/>
  <c r="L87" i="14"/>
  <c r="J67" i="14"/>
  <c r="L67" i="14"/>
  <c r="J47" i="14"/>
  <c r="L47" i="14"/>
  <c r="J37" i="14"/>
  <c r="L37" i="14"/>
  <c r="J132" i="14"/>
  <c r="L132" i="14"/>
  <c r="J102" i="14"/>
  <c r="L102" i="14"/>
  <c r="J92" i="14"/>
  <c r="L92" i="14"/>
  <c r="J72" i="14"/>
  <c r="L72" i="14"/>
  <c r="J52" i="14"/>
  <c r="L52" i="14"/>
  <c r="J42" i="14"/>
  <c r="L42" i="14"/>
  <c r="J22" i="14"/>
  <c r="L22" i="14"/>
  <c r="J122" i="14"/>
  <c r="L122" i="14"/>
  <c r="J82" i="14"/>
  <c r="L82" i="14"/>
  <c r="J62" i="14"/>
  <c r="L62" i="14"/>
  <c r="J32" i="14"/>
  <c r="L32" i="14"/>
  <c r="J112" i="14"/>
  <c r="L112" i="14"/>
  <c r="J137" i="14"/>
  <c r="L137" i="14"/>
  <c r="J107" i="14"/>
  <c r="L107" i="14"/>
  <c r="J77" i="14"/>
  <c r="L77" i="14"/>
  <c r="J57" i="14"/>
  <c r="L57" i="14"/>
  <c r="J58" i="12"/>
  <c r="K52" i="12"/>
  <c r="L143" i="14"/>
  <c r="L144" i="14"/>
  <c r="L173" i="14"/>
  <c r="L174" i="14"/>
  <c r="L175" i="14"/>
  <c r="L179" i="14"/>
  <c r="L178" i="14"/>
  <c r="L154" i="14"/>
  <c r="L153" i="14"/>
  <c r="L183" i="14"/>
  <c r="L185" i="14"/>
  <c r="L170" i="14"/>
  <c r="L169" i="14"/>
  <c r="I55" i="16"/>
  <c r="I18" i="13"/>
  <c r="K18" i="13"/>
  <c r="I15" i="13"/>
  <c r="K15" i="13"/>
  <c r="K16" i="13"/>
  <c r="I20" i="13"/>
  <c r="I12" i="13"/>
  <c r="K12" i="13"/>
  <c r="K13" i="13"/>
  <c r="K16" i="20"/>
  <c r="K58" i="20"/>
  <c r="O17" i="19"/>
  <c r="O39" i="19"/>
  <c r="L164" i="14"/>
  <c r="L163" i="14"/>
  <c r="I25" i="16"/>
  <c r="I38" i="16"/>
  <c r="I39" i="16"/>
  <c r="I78" i="16"/>
  <c r="I75" i="16"/>
  <c r="I73" i="16"/>
  <c r="I60" i="16"/>
  <c r="I48" i="16"/>
  <c r="I49" i="16"/>
  <c r="I45" i="16"/>
  <c r="I30" i="16"/>
  <c r="I44" i="16"/>
  <c r="I79" i="16"/>
  <c r="I54" i="16"/>
  <c r="L20" i="17"/>
  <c r="L19" i="17"/>
  <c r="L18" i="17"/>
  <c r="I33" i="16"/>
  <c r="I34" i="16"/>
  <c r="I63" i="16"/>
  <c r="I68" i="16"/>
  <c r="L190" i="14"/>
  <c r="I64" i="16"/>
  <c r="I69" i="16"/>
  <c r="L189" i="14"/>
  <c r="G82" i="16"/>
  <c r="I23" i="16"/>
  <c r="I28" i="16"/>
  <c r="I58" i="16"/>
  <c r="K16" i="12"/>
  <c r="K26" i="12"/>
  <c r="K31" i="12"/>
  <c r="K37" i="12"/>
  <c r="K43" i="12"/>
  <c r="K47" i="12"/>
  <c r="K12" i="12"/>
  <c r="L48" i="14"/>
  <c r="L49" i="14"/>
  <c r="L50" i="14"/>
  <c r="L125" i="14"/>
  <c r="L123" i="14"/>
  <c r="L124" i="14"/>
  <c r="L118" i="14"/>
  <c r="L119" i="14"/>
  <c r="L120" i="14"/>
  <c r="L68" i="14"/>
  <c r="L69" i="14"/>
  <c r="L70" i="14"/>
  <c r="L85" i="14"/>
  <c r="L83" i="14"/>
  <c r="L84" i="14"/>
  <c r="L25" i="14"/>
  <c r="L23" i="14"/>
  <c r="L24" i="14"/>
  <c r="L128" i="14"/>
  <c r="L129" i="14"/>
  <c r="L130" i="14"/>
  <c r="L65" i="14"/>
  <c r="L63" i="14"/>
  <c r="L64" i="14"/>
  <c r="L88" i="14"/>
  <c r="L89" i="14"/>
  <c r="L90" i="14"/>
  <c r="L45" i="14"/>
  <c r="L43" i="14"/>
  <c r="L44" i="14"/>
  <c r="L158" i="14"/>
  <c r="L159" i="14"/>
  <c r="L160" i="14"/>
  <c r="L28" i="14"/>
  <c r="L29" i="14"/>
  <c r="L30" i="14"/>
  <c r="L58" i="14"/>
  <c r="L59" i="14"/>
  <c r="L60" i="14"/>
  <c r="L75" i="14"/>
  <c r="L73" i="14"/>
  <c r="L74" i="14"/>
  <c r="L98" i="14"/>
  <c r="L99" i="14"/>
  <c r="L100" i="14"/>
  <c r="L78" i="14"/>
  <c r="L79" i="14"/>
  <c r="L80" i="14"/>
  <c r="L95" i="14"/>
  <c r="L93" i="14"/>
  <c r="L94" i="14"/>
  <c r="L148" i="14"/>
  <c r="L149" i="14"/>
  <c r="L150" i="14"/>
  <c r="L35" i="14"/>
  <c r="L33" i="14"/>
  <c r="L34" i="14"/>
  <c r="L108" i="14"/>
  <c r="L109" i="14"/>
  <c r="L110" i="14"/>
  <c r="L105" i="14"/>
  <c r="L103" i="14"/>
  <c r="L104" i="14"/>
  <c r="L138" i="14"/>
  <c r="L139" i="14"/>
  <c r="L140" i="14"/>
  <c r="L135" i="14"/>
  <c r="L133" i="14"/>
  <c r="L134" i="14"/>
  <c r="J192" i="14"/>
  <c r="L55" i="14"/>
  <c r="L53" i="14"/>
  <c r="L54" i="14"/>
  <c r="L115" i="14"/>
  <c r="L113" i="14"/>
  <c r="L114" i="14"/>
  <c r="L38" i="14"/>
  <c r="L39" i="14"/>
  <c r="L40" i="14"/>
  <c r="L18" i="14"/>
  <c r="L19" i="14"/>
  <c r="L20" i="14"/>
  <c r="N27" i="12"/>
  <c r="N28" i="12"/>
  <c r="N29" i="12"/>
  <c r="N30" i="12"/>
  <c r="N26" i="12"/>
  <c r="N18" i="12"/>
  <c r="N19" i="12"/>
  <c r="N24" i="12"/>
  <c r="N16" i="12"/>
  <c r="N17" i="12"/>
  <c r="N20" i="12"/>
  <c r="N25" i="12"/>
  <c r="N21" i="12"/>
  <c r="N22" i="12"/>
  <c r="N23" i="12"/>
  <c r="K21" i="13"/>
  <c r="O21" i="13"/>
  <c r="K22" i="13"/>
  <c r="I23" i="13"/>
  <c r="O12" i="12"/>
  <c r="K58" i="12"/>
  <c r="O26" i="12"/>
  <c r="O22" i="13"/>
  <c r="O16" i="12"/>
  <c r="H12" i="7"/>
  <c r="H14" i="7"/>
  <c r="H16" i="7"/>
  <c r="H19" i="7"/>
  <c r="H22" i="7"/>
  <c r="H28" i="7"/>
  <c r="H31" i="7"/>
  <c r="H34" i="7"/>
  <c r="H36" i="7"/>
  <c r="H38" i="7"/>
  <c r="H40" i="7"/>
  <c r="H43" i="7"/>
  <c r="H46" i="7"/>
  <c r="H48" i="7"/>
  <c r="H50" i="7"/>
  <c r="O58" i="12"/>
  <c r="F20" i="3"/>
  <c r="F18" i="10"/>
  <c r="F12" i="10"/>
  <c r="F34" i="10"/>
  <c r="F41" i="10"/>
  <c r="F43" i="10"/>
  <c r="F45" i="10"/>
  <c r="H18" i="8"/>
  <c r="H21" i="8"/>
  <c r="H24" i="8"/>
  <c r="H28" i="8"/>
  <c r="H31" i="8"/>
  <c r="H34" i="8"/>
  <c r="H37" i="8"/>
  <c r="H12" i="8"/>
  <c r="H15" i="8"/>
  <c r="I12" i="5"/>
  <c r="I48" i="5"/>
  <c r="I51" i="5"/>
  <c r="I54" i="5"/>
  <c r="I57" i="5"/>
  <c r="I66" i="5"/>
  <c r="I69" i="5"/>
  <c r="H31" i="4"/>
  <c r="H12" i="4"/>
  <c r="H20" i="4"/>
  <c r="D7" i="10"/>
  <c r="D6" i="10"/>
  <c r="D5" i="10"/>
  <c r="D3" i="10"/>
  <c r="D2" i="10"/>
  <c r="C7" i="9"/>
  <c r="C6" i="9"/>
  <c r="C5" i="9"/>
  <c r="C4" i="9"/>
  <c r="C3" i="9"/>
  <c r="C2" i="9"/>
  <c r="C7" i="8"/>
  <c r="C6" i="8"/>
  <c r="C5" i="8"/>
  <c r="C4" i="8"/>
  <c r="C3" i="8"/>
  <c r="C2" i="8"/>
  <c r="L52" i="7"/>
  <c r="C7" i="7"/>
  <c r="C6" i="7"/>
  <c r="C5" i="7"/>
  <c r="C4" i="7"/>
  <c r="C3" i="7"/>
  <c r="C2" i="7"/>
  <c r="D2" i="5"/>
  <c r="D3" i="5"/>
  <c r="D4" i="5"/>
  <c r="D5" i="5"/>
  <c r="D6" i="5"/>
  <c r="D7" i="5"/>
  <c r="M78" i="5"/>
  <c r="F19" i="3"/>
  <c r="C2" i="4"/>
  <c r="C3" i="4"/>
  <c r="C4" i="4"/>
  <c r="C5" i="4"/>
  <c r="C6" i="4"/>
  <c r="C7" i="4"/>
  <c r="H40" i="8"/>
  <c r="H52" i="7"/>
  <c r="I25" i="7"/>
  <c r="K25" i="7"/>
  <c r="K26" i="7"/>
  <c r="I78" i="5"/>
  <c r="J72" i="5"/>
  <c r="L72" i="5"/>
  <c r="I12" i="4"/>
  <c r="I16" i="4"/>
  <c r="K16" i="4"/>
  <c r="I28" i="4"/>
  <c r="K28" i="4"/>
  <c r="I24" i="4"/>
  <c r="K24" i="4"/>
  <c r="I31" i="4"/>
  <c r="K31" i="4"/>
  <c r="I34" i="4"/>
  <c r="K34" i="4"/>
  <c r="L73" i="5"/>
  <c r="J60" i="5"/>
  <c r="L60" i="5"/>
  <c r="L61" i="5"/>
  <c r="J63" i="5"/>
  <c r="L63" i="5"/>
  <c r="J27" i="5"/>
  <c r="L27" i="5"/>
  <c r="J36" i="5"/>
  <c r="L36" i="5"/>
  <c r="J33" i="5"/>
  <c r="L33" i="5"/>
  <c r="J18" i="5"/>
  <c r="L18" i="5"/>
  <c r="J75" i="5"/>
  <c r="L75" i="5"/>
  <c r="J21" i="5"/>
  <c r="L21" i="5"/>
  <c r="J24" i="5"/>
  <c r="L24" i="5"/>
  <c r="J30" i="5"/>
  <c r="L30" i="5"/>
  <c r="J42" i="5"/>
  <c r="L42" i="5"/>
  <c r="J15" i="5"/>
  <c r="L15" i="5"/>
  <c r="J39" i="5"/>
  <c r="L39" i="5"/>
  <c r="J45" i="5"/>
  <c r="L45" i="5"/>
  <c r="I15" i="8"/>
  <c r="K15" i="8"/>
  <c r="K16" i="8"/>
  <c r="I18" i="8"/>
  <c r="K18" i="8"/>
  <c r="K19" i="8"/>
  <c r="I21" i="8"/>
  <c r="K21" i="8"/>
  <c r="K22" i="8"/>
  <c r="I24" i="8"/>
  <c r="K24" i="8"/>
  <c r="I28" i="8"/>
  <c r="K28" i="8"/>
  <c r="K29" i="8"/>
  <c r="I31" i="8"/>
  <c r="K31" i="8"/>
  <c r="K32" i="8"/>
  <c r="I34" i="8"/>
  <c r="K34" i="8"/>
  <c r="K35" i="8"/>
  <c r="I37" i="8"/>
  <c r="K37" i="8"/>
  <c r="K38" i="8"/>
  <c r="I12" i="8"/>
  <c r="K12" i="8"/>
  <c r="K13" i="8"/>
  <c r="I43" i="7"/>
  <c r="K43" i="7"/>
  <c r="K44" i="7"/>
  <c r="I34" i="7"/>
  <c r="K34" i="7"/>
  <c r="I38" i="7"/>
  <c r="K38" i="7"/>
  <c r="I36" i="7"/>
  <c r="K36" i="7"/>
  <c r="I46" i="7"/>
  <c r="K46" i="7"/>
  <c r="I48" i="7"/>
  <c r="K48" i="7"/>
  <c r="I28" i="7"/>
  <c r="K28" i="7"/>
  <c r="K29" i="7"/>
  <c r="I31" i="7"/>
  <c r="K31" i="7"/>
  <c r="K32" i="7"/>
  <c r="I16" i="7"/>
  <c r="K16" i="7"/>
  <c r="K17" i="7"/>
  <c r="I12" i="7"/>
  <c r="K12" i="7"/>
  <c r="I19" i="7"/>
  <c r="K19" i="7"/>
  <c r="K20" i="7"/>
  <c r="I40" i="7"/>
  <c r="K40" i="7"/>
  <c r="K41" i="7"/>
  <c r="I14" i="7"/>
  <c r="K14" i="7"/>
  <c r="I22" i="7"/>
  <c r="K22" i="7"/>
  <c r="K23" i="7"/>
  <c r="I50" i="7"/>
  <c r="K50" i="7"/>
  <c r="J54" i="5"/>
  <c r="L54" i="5"/>
  <c r="J57" i="5"/>
  <c r="L57" i="5"/>
  <c r="J66" i="5"/>
  <c r="L66" i="5"/>
  <c r="J69" i="5"/>
  <c r="L69" i="5"/>
  <c r="J48" i="5"/>
  <c r="L48" i="5"/>
  <c r="J51" i="5"/>
  <c r="L51" i="5"/>
  <c r="J12" i="5"/>
  <c r="L12" i="5"/>
  <c r="I20" i="4"/>
  <c r="K20" i="4"/>
  <c r="I43" i="4"/>
  <c r="K35" i="4"/>
  <c r="K36" i="4"/>
  <c r="K25" i="4"/>
  <c r="K26" i="4"/>
  <c r="K18" i="4"/>
  <c r="K17" i="4"/>
  <c r="K12" i="4"/>
  <c r="K29" i="4"/>
  <c r="K32" i="4"/>
  <c r="L64" i="5"/>
  <c r="L28" i="5"/>
  <c r="L37" i="5"/>
  <c r="L19" i="5"/>
  <c r="L34" i="5"/>
  <c r="L76" i="5"/>
  <c r="L46" i="5"/>
  <c r="L40" i="5"/>
  <c r="L16" i="5"/>
  <c r="L43" i="5"/>
  <c r="L31" i="5"/>
  <c r="L22" i="5"/>
  <c r="L25" i="5"/>
  <c r="K22" i="4"/>
  <c r="K21" i="4"/>
  <c r="L49" i="5"/>
  <c r="L55" i="5"/>
  <c r="L52" i="5"/>
  <c r="L70" i="5"/>
  <c r="L67" i="5"/>
  <c r="L58" i="5"/>
  <c r="L13" i="5"/>
  <c r="I40" i="8"/>
  <c r="I52" i="7"/>
  <c r="J78" i="5"/>
  <c r="K14" i="4"/>
  <c r="K13" i="4"/>
  <c r="K12" i="30"/>
  <c r="K13" i="30"/>
  <c r="K47" i="34" l="1"/>
  <c r="K14" i="34"/>
  <c r="K50" i="34" s="1"/>
  <c r="F31" i="3" s="1"/>
  <c r="H54" i="9"/>
  <c r="I14" i="9" s="1"/>
  <c r="K14" i="9" s="1"/>
  <c r="F47" i="10"/>
  <c r="G43" i="10" s="1"/>
  <c r="I43" i="10" s="1"/>
  <c r="I40" i="9" l="1"/>
  <c r="K40" i="9" s="1"/>
  <c r="I20" i="9"/>
  <c r="K20" i="9" s="1"/>
  <c r="I22" i="9"/>
  <c r="K22" i="9" s="1"/>
  <c r="I24" i="9"/>
  <c r="K24" i="9" s="1"/>
  <c r="I26" i="9"/>
  <c r="K26" i="9" s="1"/>
  <c r="I28" i="9"/>
  <c r="K28" i="9" s="1"/>
  <c r="I32" i="9"/>
  <c r="K32" i="9" s="1"/>
  <c r="I34" i="9"/>
  <c r="K34" i="9" s="1"/>
  <c r="I42" i="9"/>
  <c r="K42" i="9" s="1"/>
  <c r="I44" i="9"/>
  <c r="K44" i="9" s="1"/>
  <c r="I16" i="9"/>
  <c r="K16" i="9" s="1"/>
  <c r="I30" i="9"/>
  <c r="K30" i="9" s="1"/>
  <c r="I36" i="9"/>
  <c r="K36" i="9" s="1"/>
  <c r="I46" i="9"/>
  <c r="K46" i="9" s="1"/>
  <c r="I38" i="9"/>
  <c r="K38" i="9" s="1"/>
  <c r="I48" i="9"/>
  <c r="K48" i="9" s="1"/>
  <c r="I50" i="9"/>
  <c r="K50" i="9" s="1"/>
  <c r="I18" i="9"/>
  <c r="K18" i="9" s="1"/>
  <c r="I52" i="9"/>
  <c r="K52" i="9" s="1"/>
  <c r="I12" i="9"/>
  <c r="K12" i="9" s="1"/>
  <c r="G36" i="10"/>
  <c r="I39" i="10" s="1"/>
  <c r="G12" i="10"/>
  <c r="I12" i="10" s="1"/>
  <c r="I38" i="10"/>
  <c r="I40" i="10"/>
  <c r="I37" i="10"/>
  <c r="G18" i="10"/>
  <c r="I18" i="10" s="1"/>
  <c r="G32" i="10"/>
  <c r="I32" i="10" s="1"/>
  <c r="G24" i="10"/>
  <c r="I24" i="10" s="1"/>
  <c r="G22" i="10"/>
  <c r="I22" i="10" s="1"/>
  <c r="G20" i="10"/>
  <c r="I20" i="10" s="1"/>
  <c r="G30" i="10"/>
  <c r="I30" i="10" s="1"/>
  <c r="G28" i="10"/>
  <c r="I28" i="10" s="1"/>
  <c r="G26" i="10"/>
  <c r="I26" i="10" s="1"/>
  <c r="G45" i="10"/>
  <c r="I45" i="10" s="1"/>
  <c r="G14" i="10"/>
  <c r="G34" i="10"/>
  <c r="I34" i="10" s="1"/>
  <c r="G41" i="10"/>
  <c r="I41" i="10" s="1"/>
  <c r="I14" i="10" l="1"/>
  <c r="I16" i="10"/>
  <c r="I15" i="10"/>
  <c r="G47" i="10"/>
  <c r="I54" i="9" l="1"/>
</calcChain>
</file>

<file path=xl/sharedStrings.xml><?xml version="1.0" encoding="utf-8"?>
<sst xmlns="http://schemas.openxmlformats.org/spreadsheetml/2006/main" count="3342" uniqueCount="1418">
  <si>
    <t>Tenderer to take note of the following key instructions:</t>
  </si>
  <si>
    <t>Technical Evaluation Guidelines</t>
  </si>
  <si>
    <t>*</t>
  </si>
  <si>
    <r>
      <t xml:space="preserve">Complete </t>
    </r>
    <r>
      <rPr>
        <b/>
        <u/>
        <sz val="11"/>
        <color rgb="FFC00000"/>
        <rFont val="Arial"/>
        <family val="2"/>
      </rPr>
      <t>ALL</t>
    </r>
    <r>
      <rPr>
        <sz val="11"/>
        <color rgb="FF000000"/>
        <rFont val="Arial"/>
        <family val="2"/>
      </rPr>
      <t xml:space="preserve"> </t>
    </r>
    <r>
      <rPr>
        <sz val="11"/>
        <color indexed="8"/>
        <rFont val="Arial"/>
        <family val="2"/>
      </rPr>
      <t>the worksheets listed below.</t>
    </r>
  </si>
  <si>
    <t>Scoring Summary (Gatekeeper questions)</t>
  </si>
  <si>
    <t>Key Requirements</t>
  </si>
  <si>
    <t>Project Management</t>
  </si>
  <si>
    <t>Functional - VW and CET</t>
  </si>
  <si>
    <t>Non-Functional</t>
  </si>
  <si>
    <t>Security</t>
  </si>
  <si>
    <t>Architecture</t>
  </si>
  <si>
    <t>Cloud</t>
  </si>
  <si>
    <t>Demonstration  - VW and CET</t>
  </si>
  <si>
    <t xml:space="preserve"> </t>
  </si>
  <si>
    <t>Reference Information</t>
  </si>
  <si>
    <t xml:space="preserve">Definitions and Abbreviations
</t>
  </si>
  <si>
    <t>Provides information on the definitions and abbreviations used in the Evaluation workbook.</t>
  </si>
  <si>
    <t>Data Ranges</t>
  </si>
  <si>
    <t>Gatekeeper drop down</t>
  </si>
  <si>
    <t>Pass</t>
  </si>
  <si>
    <t>Fail</t>
  </si>
  <si>
    <t>Summary highlight based on GK response</t>
  </si>
  <si>
    <t>Priority Rating</t>
  </si>
  <si>
    <t>No interest</t>
  </si>
  <si>
    <t>Nice to have</t>
  </si>
  <si>
    <t>Useful</t>
  </si>
  <si>
    <t>Important</t>
  </si>
  <si>
    <t>Very important</t>
  </si>
  <si>
    <t>Critical</t>
  </si>
  <si>
    <t>Show stopper</t>
  </si>
  <si>
    <t>Weight calculation formula</t>
  </si>
  <si>
    <t>Divide by</t>
  </si>
  <si>
    <t>category weight</t>
  </si>
  <si>
    <t>Dx CET - Options</t>
  </si>
  <si>
    <t>1. Std / config</t>
  </si>
  <si>
    <t>2. Cust / dev1</t>
  </si>
  <si>
    <t>3. Dev2 / No</t>
  </si>
  <si>
    <t>Dx CET - Demo (Yes/No)</t>
  </si>
  <si>
    <t>Yes</t>
  </si>
  <si>
    <t>No</t>
  </si>
  <si>
    <t>Dx CET - Demo (weighting of basic Flow vs Rest)</t>
  </si>
  <si>
    <t>Basic Flow</t>
  </si>
  <si>
    <t>Rest</t>
  </si>
  <si>
    <r>
      <t>Gatekeepers by nature should be utilised in instances where there is a</t>
    </r>
    <r>
      <rPr>
        <b/>
        <sz val="11"/>
        <color theme="1"/>
        <rFont val="Arial"/>
        <family val="2"/>
      </rPr>
      <t xml:space="preserve"> need to comply with legislative requirements, or when the project risk analysis highlights that the absence of compliance to certain requirements, would lead to the delivery of non-compliant goods/equipment/services.</t>
    </r>
  </si>
  <si>
    <r>
      <t xml:space="preserve">Gatekeepers should not be utilised as a mechanism to unfairly limit competition or disqualify competent suppliers - Section 217 of the Constitution of the Republic of South Africa states that: “where State Organs contract for goods or services they must do so in accordance with the system, which is: </t>
    </r>
    <r>
      <rPr>
        <b/>
        <sz val="11"/>
        <color theme="1"/>
        <rFont val="Arial"/>
        <family val="2"/>
      </rPr>
      <t>“Fair, Equitable, Transparent, Competitive and Cost effective”.</t>
    </r>
    <r>
      <rPr>
        <sz val="11"/>
        <color theme="1"/>
        <rFont val="Arial"/>
        <family val="2"/>
      </rPr>
      <t>”</t>
    </r>
  </si>
  <si>
    <t xml:space="preserve">As part of Group IT’s “Tender Cancellation Reduction Strategy”, the use of Mandatory Requirements/Gatekeepers needs to be applied in line with Section 217 of the Constitution of the Republic of South Africa. </t>
  </si>
  <si>
    <t>Eskom Procurement and Supply Chain Management Procedure, Unique Identifier: 32-1034 provides the following guidelines with regards to how Mandatory Requirements/Gatekeepers are to be utilised:</t>
  </si>
  <si>
    <r>
      <t>“</t>
    </r>
    <r>
      <rPr>
        <b/>
        <i/>
        <sz val="11"/>
        <color theme="1"/>
        <rFont val="Arial"/>
        <family val="2"/>
      </rPr>
      <t>F.4 Mandatory Requirements</t>
    </r>
  </si>
  <si>
    <t>The Procurement Practitioner, together with the CFT, would have discussed and agreed the mandatory requirements to be applied to the evaluation of tenders during the procurement strategy and planning phase. These requirements (if any), and the supporting documents required to verify the tenderer’s compliance, should be listed and where applicable, attached in the enquiry for completion.</t>
  </si>
  <si>
    <t>Due to the compulsory nature of mandatory requirements, Procurement Practitioners are cautioned against including too many mandatory requirements, as this may result in the disqualification of all tenders and a re-issuing of the enquiry. A condition should also be added to the enquiry, stating that these are “must meet” criteria i.e., they must be met in order to successfully qualify for further evaluation or award.”</t>
  </si>
  <si>
    <r>
      <t xml:space="preserve">With </t>
    </r>
    <r>
      <rPr>
        <u/>
        <sz val="11"/>
        <color theme="1"/>
        <rFont val="Arial"/>
        <family val="2"/>
      </rPr>
      <t>immediate</t>
    </r>
    <r>
      <rPr>
        <sz val="11"/>
        <color theme="1"/>
        <rFont val="Arial"/>
        <family val="2"/>
      </rPr>
      <t xml:space="preserve"> effect, Group IT stakeholders need to ensure that all Mandatory Requirements/Gatekeepers are fairly applied and are in line with</t>
    </r>
    <r>
      <rPr>
        <b/>
        <sz val="11"/>
        <color theme="1"/>
        <rFont val="Arial"/>
        <family val="2"/>
      </rPr>
      <t xml:space="preserve"> legislative requirements.</t>
    </r>
  </si>
  <si>
    <t>Tender Number:</t>
  </si>
  <si>
    <t>&lt;insert before tender publication&gt;</t>
  </si>
  <si>
    <t>Eskom Group IT:  Technical Evaluation Criteria
Scoring Summary</t>
  </si>
  <si>
    <t>Transaction Description:</t>
  </si>
  <si>
    <t>Technical Threshold:</t>
  </si>
  <si>
    <t>Evaluated Tenderer's Registered Name:</t>
  </si>
  <si>
    <t>&lt;Evaluator to complete&gt;</t>
  </si>
  <si>
    <t>Evaluator Name and Surname:</t>
  </si>
  <si>
    <t>Date of Evaluation</t>
  </si>
  <si>
    <t>Evaluator Signature</t>
  </si>
  <si>
    <t>Gatekeeper Requirements:</t>
  </si>
  <si>
    <r>
      <t xml:space="preserve">Mandatory Returnables - </t>
    </r>
    <r>
      <rPr>
        <sz val="8"/>
        <color theme="1"/>
        <rFont val="Arial"/>
        <family val="2"/>
      </rPr>
      <t>Evidence below to be provided in the technical file and numbered to align with each criteria question.</t>
    </r>
    <r>
      <rPr>
        <b/>
        <sz val="8"/>
        <color theme="1"/>
        <rFont val="Arial"/>
        <family val="2"/>
      </rPr>
      <t xml:space="preserve"> </t>
    </r>
  </si>
  <si>
    <r>
      <t xml:space="preserve">Vendor Response: </t>
    </r>
    <r>
      <rPr>
        <sz val="8"/>
        <color theme="1"/>
        <rFont val="Arial"/>
        <family val="2"/>
      </rPr>
      <t>Vendor to provide answer the questions below and provide detail in their tender submission</t>
    </r>
  </si>
  <si>
    <r>
      <t xml:space="preserve">Vendor Evidence: </t>
    </r>
    <r>
      <rPr>
        <sz val="8"/>
        <color theme="1"/>
        <rFont val="Arial"/>
        <family val="2"/>
      </rPr>
      <t>Location of Supporting Document/Info (state the file number, section &amp; page number)</t>
    </r>
  </si>
  <si>
    <r>
      <t xml:space="preserve">Vendor Comments: </t>
    </r>
    <r>
      <rPr>
        <sz val="8"/>
        <color theme="1"/>
        <rFont val="Arial"/>
        <family val="2"/>
      </rPr>
      <t>Vendor to indicate any deviation or exception from the business requirement</t>
    </r>
    <r>
      <rPr>
        <b/>
        <sz val="8"/>
        <color theme="1"/>
        <rFont val="Arial"/>
        <family val="2"/>
      </rPr>
      <t>.</t>
    </r>
  </si>
  <si>
    <t>Scoring 
Options</t>
  </si>
  <si>
    <t>Evaluators Response</t>
  </si>
  <si>
    <t>Evaluator comments</t>
  </si>
  <si>
    <r>
      <t xml:space="preserve">Eskom requires the vendor to be a certified solution installer / implementor / partner </t>
    </r>
    <r>
      <rPr>
        <u/>
        <sz val="8"/>
        <rFont val="Arial"/>
        <family val="2"/>
      </rPr>
      <t>for the proposed solution.</t>
    </r>
  </si>
  <si>
    <r>
      <t xml:space="preserve">In your technical response provide a certificate or OEM letter as evidence that your company is an accredited solution installer / implementor /  partner </t>
    </r>
    <r>
      <rPr>
        <u/>
        <sz val="8"/>
        <rFont val="Arial"/>
        <family val="2"/>
      </rPr>
      <t>for the proposed solution.</t>
    </r>
  </si>
  <si>
    <t>Desktop Evaluation Scoring summary</t>
  </si>
  <si>
    <t>Evaluation Categories</t>
  </si>
  <si>
    <t>Weight</t>
  </si>
  <si>
    <t>Threshold</t>
  </si>
  <si>
    <t>Score</t>
  </si>
  <si>
    <t>Functional - VW</t>
  </si>
  <si>
    <t>Functional - CET</t>
  </si>
  <si>
    <t xml:space="preserve">Total </t>
  </si>
  <si>
    <t>Demonstration Scoring summary</t>
  </si>
  <si>
    <t>Demonstration</t>
  </si>
  <si>
    <t>Demonstration - VW</t>
  </si>
  <si>
    <t>Demonstration - CET</t>
  </si>
  <si>
    <t>Eskom Group IT:  Technical Evaluation Criteria
Category: Key Requirements</t>
  </si>
  <si>
    <t>Tenderer Registered Name:</t>
  </si>
  <si>
    <t>Item #</t>
  </si>
  <si>
    <t>Technical Requirements</t>
  </si>
  <si>
    <t>Vendor Responses</t>
  </si>
  <si>
    <t>Evaluator Scores</t>
  </si>
  <si>
    <t xml:space="preserve">Business requirements </t>
  </si>
  <si>
    <r>
      <t xml:space="preserve">Vendor Response: </t>
    </r>
    <r>
      <rPr>
        <sz val="8"/>
        <color theme="1"/>
        <rFont val="Arial"/>
        <family val="2"/>
      </rPr>
      <t>Select from drop down list</t>
    </r>
  </si>
  <si>
    <r>
      <t xml:space="preserve">Vendor Comments: </t>
    </r>
    <r>
      <rPr>
        <sz val="8"/>
        <color theme="1"/>
        <rFont val="Arial"/>
        <family val="2"/>
      </rPr>
      <t>Vendor to indicate any comments for information/clarification. (Not for scoring purposes)</t>
    </r>
  </si>
  <si>
    <t>Priority Description</t>
  </si>
  <si>
    <t>Priority</t>
  </si>
  <si>
    <t>Weight / Max score</t>
  </si>
  <si>
    <t>Scoring guideline</t>
  </si>
  <si>
    <t>Selection Options</t>
  </si>
  <si>
    <t>K1</t>
  </si>
  <si>
    <r>
      <t>In your technical submission please list the</t>
    </r>
    <r>
      <rPr>
        <b/>
        <sz val="8"/>
        <rFont val="Arial"/>
        <family val="2"/>
      </rPr>
      <t xml:space="preserve"> "active" (still used)</t>
    </r>
    <r>
      <rPr>
        <sz val="8"/>
        <rFont val="Arial"/>
        <family val="2"/>
      </rPr>
      <t xml:space="preserve"> implementations of your solution at top utilities with more than</t>
    </r>
    <r>
      <rPr>
        <b/>
        <sz val="8"/>
        <rFont val="Arial"/>
        <family val="2"/>
      </rPr>
      <t xml:space="preserve"> 5000 points of supply.</t>
    </r>
    <r>
      <rPr>
        <sz val="8"/>
        <rFont val="Arial"/>
        <family val="2"/>
      </rPr>
      <t xml:space="preserve">
Provide:
- Company name
- Implementation year
- Implementation status - active
- Size of implementation - number of points of supply
- Country
- Company website
</t>
    </r>
  </si>
  <si>
    <t>&lt;Example for how to complete this whole column: Technical File, section 5 (company background section), page 11&gt;</t>
  </si>
  <si>
    <r>
      <t xml:space="preserve">1. Solution is currently being used in more than </t>
    </r>
    <r>
      <rPr>
        <b/>
        <sz val="8"/>
        <rFont val="Arial"/>
        <family val="2"/>
      </rPr>
      <t>5 top utilities</t>
    </r>
  </si>
  <si>
    <r>
      <t xml:space="preserve">2. Solution is currently being used in </t>
    </r>
    <r>
      <rPr>
        <b/>
        <sz val="8"/>
        <rFont val="Arial"/>
        <family val="2"/>
      </rPr>
      <t>2 to 5 top utilities</t>
    </r>
  </si>
  <si>
    <r>
      <t xml:space="preserve">3. Solution is currently being used in </t>
    </r>
    <r>
      <rPr>
        <b/>
        <sz val="8"/>
        <rFont val="Arial"/>
        <family val="2"/>
      </rPr>
      <t>1 top utility</t>
    </r>
  </si>
  <si>
    <r>
      <t xml:space="preserve">4. Solution is </t>
    </r>
    <r>
      <rPr>
        <b/>
        <sz val="8"/>
        <rFont val="Arial"/>
        <family val="2"/>
      </rPr>
      <t>NOT</t>
    </r>
    <r>
      <rPr>
        <sz val="8"/>
        <rFont val="Arial"/>
        <family val="2"/>
      </rPr>
      <t xml:space="preserve"> currently being used in a </t>
    </r>
    <r>
      <rPr>
        <b/>
        <sz val="8"/>
        <rFont val="Arial"/>
        <family val="2"/>
      </rPr>
      <t>top utility</t>
    </r>
  </si>
  <si>
    <t>K2</t>
  </si>
  <si>
    <r>
      <t xml:space="preserve">Eskom requires a proven </t>
    </r>
    <r>
      <rPr>
        <b/>
        <sz val="8"/>
        <rFont val="Arial"/>
        <family val="2"/>
      </rPr>
      <t>solution that has been in the market for a number of years</t>
    </r>
    <r>
      <rPr>
        <sz val="8"/>
        <rFont val="Arial"/>
        <family val="2"/>
      </rPr>
      <t xml:space="preserve"> i.e. a mature system used by </t>
    </r>
    <r>
      <rPr>
        <u/>
        <sz val="8"/>
        <rFont val="Arial"/>
        <family val="2"/>
      </rPr>
      <t>top utilities</t>
    </r>
    <r>
      <rPr>
        <b/>
        <sz val="8"/>
        <rFont val="Arial"/>
        <family val="2"/>
      </rPr>
      <t xml:space="preserve">. </t>
    </r>
    <r>
      <rPr>
        <sz val="8"/>
        <rFont val="Arial"/>
        <family val="2"/>
      </rPr>
      <t xml:space="preserve">
</t>
    </r>
  </si>
  <si>
    <r>
      <t xml:space="preserve">In your technical submission please indicate how long your solution has been used by top utilities with more than </t>
    </r>
    <r>
      <rPr>
        <b/>
        <sz val="8"/>
        <rFont val="Arial"/>
        <family val="2"/>
      </rPr>
      <t>5000 points of supply</t>
    </r>
    <r>
      <rPr>
        <sz val="8"/>
        <rFont val="Arial"/>
        <family val="2"/>
      </rPr>
      <t>.
Provide:
- Company name
- Implementation year
- Implementation status - active
- Size of implementation - number of points of supply
- Country
- Company website</t>
    </r>
  </si>
  <si>
    <r>
      <t>1. Solution has been used at top utilities in the market for</t>
    </r>
    <r>
      <rPr>
        <b/>
        <sz val="8"/>
        <rFont val="Arial"/>
        <family val="2"/>
      </rPr>
      <t xml:space="preserve"> more than 5 years</t>
    </r>
  </si>
  <si>
    <r>
      <t>2. Solution has been used at top utilities in the market for</t>
    </r>
    <r>
      <rPr>
        <b/>
        <sz val="8"/>
        <rFont val="Arial"/>
        <family val="2"/>
      </rPr>
      <t xml:space="preserve"> 2 to 5 years</t>
    </r>
  </si>
  <si>
    <r>
      <t xml:space="preserve">3. Solution has been used at top utilities in the market for at least </t>
    </r>
    <r>
      <rPr>
        <b/>
        <sz val="8"/>
        <rFont val="Arial"/>
        <family val="2"/>
      </rPr>
      <t>1 year</t>
    </r>
  </si>
  <si>
    <r>
      <t xml:space="preserve">4. Solution is </t>
    </r>
    <r>
      <rPr>
        <b/>
        <sz val="8"/>
        <rFont val="Arial"/>
        <family val="2"/>
      </rPr>
      <t>NOT</t>
    </r>
    <r>
      <rPr>
        <sz val="8"/>
        <rFont val="Arial"/>
        <family val="2"/>
      </rPr>
      <t xml:space="preserve"> used in the market yet</t>
    </r>
  </si>
  <si>
    <t>K3</t>
  </si>
  <si>
    <r>
      <t xml:space="preserve">In your technical submission please list the implementations of the system/solution you have done for </t>
    </r>
    <r>
      <rPr>
        <b/>
        <sz val="8"/>
        <rFont val="Arial"/>
        <family val="2"/>
      </rPr>
      <t>top utilities with a more than 5000 points of supply</t>
    </r>
    <r>
      <rPr>
        <sz val="8"/>
        <rFont val="Arial"/>
        <family val="2"/>
      </rPr>
      <t xml:space="preserve"> and</t>
    </r>
    <r>
      <rPr>
        <b/>
        <sz val="8"/>
        <rFont val="Arial"/>
        <family val="2"/>
      </rPr>
      <t xml:space="preserve"> indicate the number of implementations.</t>
    </r>
    <r>
      <rPr>
        <sz val="8"/>
        <rFont val="Arial"/>
        <family val="2"/>
      </rPr>
      <t xml:space="preserve">
Provide:
- Role: Leading role, venture partner / sub-contractor, no-experience etc.
- Time taken to implement
- Size of implementation - number of points of supply
- Implementation year
- Implementation status - active
- Reference letters from individual projects/clients</t>
    </r>
  </si>
  <si>
    <r>
      <t xml:space="preserve">1. Vendor has implemented solution at </t>
    </r>
    <r>
      <rPr>
        <b/>
        <sz val="8"/>
        <rFont val="Arial"/>
        <family val="2"/>
      </rPr>
      <t xml:space="preserve">greater than 3 </t>
    </r>
    <r>
      <rPr>
        <sz val="8"/>
        <rFont val="Arial"/>
        <family val="2"/>
      </rPr>
      <t>top utilities (with &gt; 5000 points of supply)</t>
    </r>
  </si>
  <si>
    <r>
      <t xml:space="preserve">2. Vendor has implemented solution at </t>
    </r>
    <r>
      <rPr>
        <b/>
        <sz val="8"/>
        <rFont val="Arial"/>
        <family val="2"/>
      </rPr>
      <t>2 to 3</t>
    </r>
    <r>
      <rPr>
        <sz val="8"/>
        <rFont val="Arial"/>
        <family val="2"/>
      </rPr>
      <t xml:space="preserve"> top utilities</t>
    </r>
    <r>
      <rPr>
        <b/>
        <sz val="8"/>
        <rFont val="Arial"/>
        <family val="2"/>
      </rPr>
      <t xml:space="preserve"> </t>
    </r>
    <r>
      <rPr>
        <sz val="8"/>
        <rFont val="Arial"/>
        <family val="2"/>
      </rPr>
      <t>(with &gt; 5000 points of supply).</t>
    </r>
  </si>
  <si>
    <r>
      <t xml:space="preserve">3. Vendor has implemented solution at </t>
    </r>
    <r>
      <rPr>
        <b/>
        <sz val="8"/>
        <rFont val="Arial"/>
        <family val="2"/>
      </rPr>
      <t>1</t>
    </r>
    <r>
      <rPr>
        <sz val="8"/>
        <rFont val="Arial"/>
        <family val="2"/>
      </rPr>
      <t xml:space="preserve"> top utility (with &gt; 5000 points of supply).</t>
    </r>
  </si>
  <si>
    <r>
      <t xml:space="preserve">4. Vendor has </t>
    </r>
    <r>
      <rPr>
        <b/>
        <sz val="8"/>
        <rFont val="Arial"/>
        <family val="2"/>
      </rPr>
      <t>NOT</t>
    </r>
    <r>
      <rPr>
        <sz val="8"/>
        <rFont val="Arial"/>
        <family val="2"/>
      </rPr>
      <t xml:space="preserve"> implemented solution at a top utility (with &gt; 5000 points of supply).</t>
    </r>
  </si>
  <si>
    <t>K4</t>
  </si>
  <si>
    <r>
      <t>Eskom requires the</t>
    </r>
    <r>
      <rPr>
        <b/>
        <sz val="8"/>
        <rFont val="Arial"/>
        <family val="2"/>
      </rPr>
      <t xml:space="preserve"> vendor to have previous experience</t>
    </r>
    <r>
      <rPr>
        <sz val="8"/>
        <rFont val="Arial"/>
        <family val="2"/>
      </rPr>
      <t xml:space="preserve"> in the implementation of the system/solution:
- Installation / implementation of the solution at top utilities.
- At least 5+ years experience.</t>
    </r>
  </si>
  <si>
    <r>
      <t xml:space="preserve">In your technical submission please list the implementations of the system/solution you have done for </t>
    </r>
    <r>
      <rPr>
        <b/>
        <sz val="8"/>
        <rFont val="Arial"/>
        <family val="2"/>
      </rPr>
      <t xml:space="preserve">top utilities with a more than 5000 points of supply </t>
    </r>
    <r>
      <rPr>
        <sz val="8"/>
        <rFont val="Arial"/>
        <family val="2"/>
      </rPr>
      <t>and</t>
    </r>
    <r>
      <rPr>
        <b/>
        <sz val="8"/>
        <rFont val="Arial"/>
        <family val="2"/>
      </rPr>
      <t xml:space="preserve"> indicate the time taken to implement.</t>
    </r>
    <r>
      <rPr>
        <sz val="8"/>
        <rFont val="Arial"/>
        <family val="2"/>
      </rPr>
      <t xml:space="preserve">
Provide:
- Role: Leading role, venture partner / sub-contractor, no-experience etc.
</t>
    </r>
    <r>
      <rPr>
        <b/>
        <sz val="8"/>
        <rFont val="Arial"/>
        <family val="2"/>
      </rPr>
      <t>- Time taken to implement</t>
    </r>
    <r>
      <rPr>
        <sz val="8"/>
        <rFont val="Arial"/>
        <family val="2"/>
      </rPr>
      <t xml:space="preserve">
- Size of implementation - number of points of supply
- Implementation year
- Implementation status - active
- Reference letters from individual projects/clients</t>
    </r>
  </si>
  <si>
    <r>
      <t xml:space="preserve">1. The </t>
    </r>
    <r>
      <rPr>
        <b/>
        <sz val="8"/>
        <rFont val="Arial"/>
        <family val="2"/>
      </rPr>
      <t>quickest implementation</t>
    </r>
    <r>
      <rPr>
        <sz val="8"/>
        <rFont val="Arial"/>
        <family val="2"/>
      </rPr>
      <t xml:space="preserve"> at a top utility (with &gt; 5000 points of supply), took </t>
    </r>
    <r>
      <rPr>
        <b/>
        <sz val="8"/>
        <rFont val="Arial"/>
        <family val="2"/>
      </rPr>
      <t>less than 18 months</t>
    </r>
  </si>
  <si>
    <r>
      <t xml:space="preserve">2. The </t>
    </r>
    <r>
      <rPr>
        <b/>
        <sz val="8"/>
        <rFont val="Arial"/>
        <family val="2"/>
      </rPr>
      <t>quickest implementation</t>
    </r>
    <r>
      <rPr>
        <sz val="8"/>
        <rFont val="Arial"/>
        <family val="2"/>
      </rPr>
      <t xml:space="preserve"> at a top utility (with &gt; 5000 points of supply), took from </t>
    </r>
    <r>
      <rPr>
        <b/>
        <sz val="8"/>
        <rFont val="Arial"/>
        <family val="2"/>
      </rPr>
      <t>18 to 24 months</t>
    </r>
  </si>
  <si>
    <r>
      <t xml:space="preserve">3. The </t>
    </r>
    <r>
      <rPr>
        <b/>
        <sz val="8"/>
        <rFont val="Arial"/>
        <family val="2"/>
      </rPr>
      <t>quickest implementation</t>
    </r>
    <r>
      <rPr>
        <sz val="8"/>
        <rFont val="Arial"/>
        <family val="2"/>
      </rPr>
      <t xml:space="preserve"> at a top utility (with &gt; 5000 points) of supply, took from </t>
    </r>
    <r>
      <rPr>
        <b/>
        <sz val="8"/>
        <rFont val="Arial"/>
        <family val="2"/>
      </rPr>
      <t>25 to 36 months</t>
    </r>
  </si>
  <si>
    <r>
      <t xml:space="preserve">4. The </t>
    </r>
    <r>
      <rPr>
        <b/>
        <sz val="8"/>
        <rFont val="Arial"/>
        <family val="2"/>
      </rPr>
      <t>quickest implementation</t>
    </r>
    <r>
      <rPr>
        <sz val="8"/>
        <rFont val="Arial"/>
        <family val="2"/>
      </rPr>
      <t xml:space="preserve"> at a top utility (with &gt; 5000 points of supply), took </t>
    </r>
    <r>
      <rPr>
        <b/>
        <sz val="8"/>
        <rFont val="Arial"/>
        <family val="2"/>
      </rPr>
      <t>longer than 36 months</t>
    </r>
  </si>
  <si>
    <t>K6</t>
  </si>
  <si>
    <t>Eskom requires the solution to cater for virtual wheeling as part of the core solution (could be built / plugged in as part of the final solution).
Virtual wheeling:
The aggregating of data from the loads and generators and against this a refund is provided for the wheeled energy on a consolidated basis.</t>
  </si>
  <si>
    <t>In your technical response select one of  the options below to describe how the required functionality could be delivered, and indicate via screenshots and / or indicate the relevant modules required to provide the functionality:
1. Standard functionality 
    or deliver by configuration
2. Deliver by built in customization tools 
    or deliver by development (changes are preserved in future upgrades)
3. Deliver by development (BUT changes NOT preserved in future upgrades) 
   or not possible</t>
  </si>
  <si>
    <r>
      <t xml:space="preserve">1. Standard functionality </t>
    </r>
    <r>
      <rPr>
        <b/>
        <sz val="8"/>
        <rFont val="Arial"/>
        <family val="2"/>
      </rPr>
      <t xml:space="preserve">or </t>
    </r>
    <r>
      <rPr>
        <sz val="8"/>
        <rFont val="Arial"/>
        <family val="2"/>
      </rPr>
      <t>can be delivered by configuration.</t>
    </r>
  </si>
  <si>
    <r>
      <t xml:space="preserve">2. Functionality can be delivered by built in customization tools </t>
    </r>
    <r>
      <rPr>
        <b/>
        <sz val="8"/>
        <rFont val="Arial"/>
        <family val="2"/>
      </rPr>
      <t>or</t>
    </r>
    <r>
      <rPr>
        <sz val="8"/>
        <rFont val="Arial"/>
        <family val="2"/>
      </rPr>
      <t xml:space="preserve"> by development (changes are preserved in future upgrades)</t>
    </r>
  </si>
  <si>
    <r>
      <t xml:space="preserve">3. Functionality can be delivered by development (BUT changes NOT preserved in future upgrades) </t>
    </r>
    <r>
      <rPr>
        <b/>
        <sz val="8"/>
        <rFont val="Arial"/>
        <family val="2"/>
      </rPr>
      <t>or</t>
    </r>
    <r>
      <rPr>
        <sz val="8"/>
        <rFont val="Arial"/>
        <family val="2"/>
      </rPr>
      <t xml:space="preserve"> it is not possible to provide this functionality.</t>
    </r>
  </si>
  <si>
    <t>K7</t>
  </si>
  <si>
    <t>Eskom requires the solution to include a (wheeling) portal dealing with external buyers (traders, customers and corporate entities) i.e. a client facing portal.</t>
  </si>
  <si>
    <t>K5</t>
  </si>
  <si>
    <r>
      <t xml:space="preserve">Eskom requires easy access to solution support </t>
    </r>
    <r>
      <rPr>
        <b/>
        <u/>
        <sz val="8"/>
        <rFont val="Arial"/>
        <family val="2"/>
      </rPr>
      <t>human resources</t>
    </r>
    <r>
      <rPr>
        <sz val="8"/>
        <rFont val="Arial"/>
        <family val="2"/>
      </rPr>
      <t xml:space="preserve">, preferably local on-site support.
</t>
    </r>
  </si>
  <si>
    <r>
      <t xml:space="preserve">In your technical response indicate how solution support </t>
    </r>
    <r>
      <rPr>
        <b/>
        <u/>
        <sz val="8"/>
        <rFont val="Arial"/>
        <family val="2"/>
      </rPr>
      <t>human resources</t>
    </r>
    <r>
      <rPr>
        <sz val="8"/>
        <rFont val="Arial"/>
        <family val="2"/>
      </rPr>
      <t xml:space="preserve"> will be accessed.
1. Local (onsite)
2. Hybrid - Local (on site) and online
3. Online</t>
    </r>
  </si>
  <si>
    <t>1. Local (on site)</t>
  </si>
  <si>
    <t>2. Hybrid - Local (on site) and online</t>
  </si>
  <si>
    <t>3. Online</t>
  </si>
  <si>
    <t>Total</t>
  </si>
  <si>
    <t>Final Score</t>
  </si>
  <si>
    <t xml:space="preserve">Eskom Group IT:  Technical Evaluation Criteria
</t>
  </si>
  <si>
    <t>Category:</t>
  </si>
  <si>
    <r>
      <t xml:space="preserve">Vendor Response: </t>
    </r>
    <r>
      <rPr>
        <sz val="8"/>
        <color theme="1"/>
        <rFont val="Arial"/>
        <family val="2"/>
      </rPr>
      <t>Select from drop down list</t>
    </r>
    <r>
      <rPr>
        <b/>
        <sz val="8"/>
        <color theme="1"/>
        <rFont val="Arial"/>
        <family val="2"/>
      </rPr>
      <t xml:space="preserve"> where applicable</t>
    </r>
  </si>
  <si>
    <t>PM1</t>
  </si>
  <si>
    <t xml:space="preserve">Project management will be done according to a structured, internationally-recognised project management methodology, as such Agile or waterfall
</t>
  </si>
  <si>
    <t xml:space="preserve">In your technical response describe the project management methodology used. e.g. Agile, Waterfall by your company. Provide a project plan for the system upgrade showing milestones with completion dates. </t>
  </si>
  <si>
    <r>
      <t>&lt;</t>
    </r>
    <r>
      <rPr>
        <b/>
        <i/>
        <sz val="8"/>
        <color theme="5" tint="-0.499984740745262"/>
        <rFont val="Arial"/>
        <family val="2"/>
      </rPr>
      <t>Example for how to complete this whole column:</t>
    </r>
    <r>
      <rPr>
        <i/>
        <sz val="8"/>
        <color theme="5" tint="-0.499984740745262"/>
        <rFont val="Arial"/>
        <family val="2"/>
      </rPr>
      <t xml:space="preserve"> Technical File, section 5 (company background section), page 11&gt;</t>
    </r>
  </si>
  <si>
    <t>Vendor uses agile or waterfall methodology.</t>
  </si>
  <si>
    <t>Vendor uses a different project management methodology - Not agile or waterfall.</t>
  </si>
  <si>
    <t>Vendor did not show evidence of a structured project management methodology.</t>
  </si>
  <si>
    <t>PM2</t>
  </si>
  <si>
    <t xml:space="preserve">Eskom requires the vendor to appoint a project manager who has experience managing similar projects
</t>
  </si>
  <si>
    <t xml:space="preserve">In your technical response provide details of the proposed project manager, including qualifications and experience on projects of similar size and complexity, provide the project managers CV as evidence.  </t>
  </si>
  <si>
    <t>Project manager has more than 5 years experience managing similar projects.</t>
  </si>
  <si>
    <t>Project manager has 3-5 years experience managing similar projects.</t>
  </si>
  <si>
    <t>Project manager has less than 3 years experience in managing similar projects.</t>
  </si>
  <si>
    <t>PM3</t>
  </si>
  <si>
    <t xml:space="preserve">Eskom prefers the appointed project manager to be based in South Africa for the duration of the contract period to allow for training and skill transfer
</t>
  </si>
  <si>
    <t>In your technical response indicate the city and country where the appointed project manager will be located.</t>
  </si>
  <si>
    <t>Project manager is based in South Africa.</t>
  </si>
  <si>
    <t>Project manager is not based in South Africa.</t>
  </si>
  <si>
    <t>PM4</t>
  </si>
  <si>
    <t xml:space="preserve">Eskom requires the vendor to have a detailed resource plan to execute the upgrade.
</t>
  </si>
  <si>
    <t xml:space="preserve">In your technical response provide a detailed resource plan indicating the utilization of each resource.  </t>
  </si>
  <si>
    <t>For each statement below that is true award the corresponding score cumulatively.</t>
  </si>
  <si>
    <t>The plan shows the type and number of resources that will be allocated to each project stage.</t>
  </si>
  <si>
    <t>The plan shows the utilization of each resource i.e. percentage of time each resource will spend on the Eskom project.</t>
  </si>
  <si>
    <t>Functional Virtual Wheeling</t>
  </si>
  <si>
    <t>Business requirement group</t>
  </si>
  <si>
    <t>F_VW1</t>
  </si>
  <si>
    <t>Consolidated wheeling data environment</t>
  </si>
  <si>
    <r>
      <t>Eskom requires a</t>
    </r>
    <r>
      <rPr>
        <b/>
        <sz val="8"/>
        <rFont val="Arial"/>
        <family val="2"/>
      </rPr>
      <t xml:space="preserve"> "consolidated wheeling data environment" </t>
    </r>
    <r>
      <rPr>
        <sz val="8"/>
        <rFont val="Arial"/>
        <family val="2"/>
      </rPr>
      <t>to be able to</t>
    </r>
    <r>
      <rPr>
        <b/>
        <sz val="8"/>
        <rFont val="Arial"/>
        <family val="2"/>
      </rPr>
      <t xml:space="preserve"> store </t>
    </r>
    <r>
      <rPr>
        <b/>
        <u/>
        <sz val="8"/>
        <rFont val="Arial"/>
        <family val="2"/>
      </rPr>
      <t>all of the following</t>
    </r>
    <r>
      <rPr>
        <b/>
        <sz val="8"/>
        <rFont val="Arial"/>
        <family val="2"/>
      </rPr>
      <t xml:space="preserve"> data for energy wheeling calculations / reporting:</t>
    </r>
    <r>
      <rPr>
        <sz val="8"/>
        <rFont val="Arial"/>
        <family val="2"/>
      </rPr>
      <t xml:space="preserve">
</t>
    </r>
    <r>
      <rPr>
        <b/>
        <sz val="8"/>
        <rFont val="Arial"/>
        <family val="2"/>
      </rPr>
      <t>1. Interval meter read data</t>
    </r>
    <r>
      <rPr>
        <sz val="8"/>
        <rFont val="Arial"/>
        <family val="2"/>
      </rPr>
      <t xml:space="preserve">
(Generators, Eskom customers and customer behind municipal boundaries)
</t>
    </r>
    <r>
      <rPr>
        <b/>
        <sz val="8"/>
        <rFont val="Arial"/>
        <family val="2"/>
      </rPr>
      <t>2a. Basic customer information from the billing system</t>
    </r>
    <r>
      <rPr>
        <sz val="8"/>
        <rFont val="Arial"/>
        <family val="2"/>
      </rPr>
      <t xml:space="preserve">
(Persons, Accounts, Service agreements and Premises, Detailed bill line items, Business areas (Clusters, Operating Units etc. for both retail and wires perspectives).
</t>
    </r>
    <r>
      <rPr>
        <b/>
        <sz val="8"/>
        <rFont val="Arial"/>
        <family val="2"/>
      </rPr>
      <t>2b. Basic customer information for customers beyond municipal boundaries</t>
    </r>
    <r>
      <rPr>
        <sz val="8"/>
        <rFont val="Arial"/>
        <family val="2"/>
      </rPr>
      <t xml:space="preserve">
(Persons (customers), meters, premise address)
</t>
    </r>
    <r>
      <rPr>
        <b/>
        <sz val="8"/>
        <rFont val="Arial"/>
        <family val="2"/>
      </rPr>
      <t>3. Energy wheeling configuration</t>
    </r>
    <r>
      <rPr>
        <sz val="8"/>
        <rFont val="Arial"/>
        <family val="2"/>
      </rPr>
      <t xml:space="preserve">
(Contracted energy wheeling configuration and history)
</t>
    </r>
    <r>
      <rPr>
        <b/>
        <sz val="8"/>
        <rFont val="Arial"/>
        <family val="2"/>
      </rPr>
      <t>4. Wheeled energy refunds / credits</t>
    </r>
  </si>
  <si>
    <r>
      <t xml:space="preserve">In your technical response select one of  the options below to describe how the required functionality could be delivered, and indicate via screenshots and / or indicate the relevant modules required to provide the functionality:
</t>
    </r>
    <r>
      <rPr>
        <b/>
        <sz val="8"/>
        <rFont val="Arial"/>
        <family val="2"/>
      </rPr>
      <t xml:space="preserve">1. Standard functionality 
    </t>
    </r>
    <r>
      <rPr>
        <sz val="8"/>
        <rFont val="Arial"/>
        <family val="2"/>
      </rPr>
      <t xml:space="preserve">or </t>
    </r>
    <r>
      <rPr>
        <b/>
        <sz val="8"/>
        <rFont val="Arial"/>
        <family val="2"/>
      </rPr>
      <t xml:space="preserve">deliver by configuration
2. </t>
    </r>
    <r>
      <rPr>
        <sz val="8"/>
        <rFont val="Arial"/>
        <family val="2"/>
      </rPr>
      <t>Deliver by</t>
    </r>
    <r>
      <rPr>
        <b/>
        <sz val="8"/>
        <rFont val="Arial"/>
        <family val="2"/>
      </rPr>
      <t xml:space="preserve"> built in customization tools 
    </t>
    </r>
    <r>
      <rPr>
        <sz val="8"/>
        <rFont val="Arial"/>
        <family val="2"/>
      </rPr>
      <t>or</t>
    </r>
    <r>
      <rPr>
        <b/>
        <sz val="8"/>
        <rFont val="Arial"/>
        <family val="2"/>
      </rPr>
      <t xml:space="preserve"> </t>
    </r>
    <r>
      <rPr>
        <sz val="8"/>
        <rFont val="Arial"/>
        <family val="2"/>
      </rPr>
      <t>deliver by</t>
    </r>
    <r>
      <rPr>
        <b/>
        <sz val="8"/>
        <rFont val="Arial"/>
        <family val="2"/>
      </rPr>
      <t xml:space="preserve"> development (changes are preserved in future upgrades)
3. </t>
    </r>
    <r>
      <rPr>
        <sz val="8"/>
        <rFont val="Arial"/>
        <family val="2"/>
      </rPr>
      <t>Deliver by</t>
    </r>
    <r>
      <rPr>
        <b/>
        <sz val="8"/>
        <rFont val="Arial"/>
        <family val="2"/>
      </rPr>
      <t xml:space="preserve"> development (BUT changes NOT preserved in future upgrades) 
   </t>
    </r>
    <r>
      <rPr>
        <sz val="8"/>
        <rFont val="Arial"/>
        <family val="2"/>
      </rPr>
      <t xml:space="preserve">or </t>
    </r>
    <r>
      <rPr>
        <b/>
        <sz val="8"/>
        <rFont val="Arial"/>
        <family val="2"/>
      </rPr>
      <t xml:space="preserve">not possible
</t>
    </r>
  </si>
  <si>
    <r>
      <t>&lt;</t>
    </r>
    <r>
      <rPr>
        <b/>
        <i/>
        <sz val="8"/>
        <color rgb="FFFF0000"/>
        <rFont val="Arial"/>
        <family val="2"/>
      </rPr>
      <t>Example for how to complete this whole column:</t>
    </r>
    <r>
      <rPr>
        <i/>
        <sz val="8"/>
        <color rgb="FFFF0000"/>
        <rFont val="Arial"/>
        <family val="2"/>
      </rPr>
      <t xml:space="preserve"> Technical File, section 5 (company background section), page 11&gt;</t>
    </r>
  </si>
  <si>
    <t>F_VW2</t>
  </si>
  <si>
    <r>
      <t>Eskom requires the</t>
    </r>
    <r>
      <rPr>
        <b/>
        <sz val="8"/>
        <rFont val="Arial"/>
        <family val="2"/>
      </rPr>
      <t xml:space="preserve"> "consolidated wheeling data environment" </t>
    </r>
    <r>
      <rPr>
        <sz val="8"/>
        <rFont val="Arial"/>
        <family val="2"/>
      </rPr>
      <t>to be able to</t>
    </r>
    <r>
      <rPr>
        <b/>
        <sz val="8"/>
        <rFont val="Arial"/>
        <family val="2"/>
      </rPr>
      <t xml:space="preserve"> calculate wheeled energy allocations and refunds / credits </t>
    </r>
    <r>
      <rPr>
        <sz val="8"/>
        <rFont val="Arial"/>
        <family val="2"/>
      </rPr>
      <t xml:space="preserve">for configured qualifying customer premises (or municipal customers) using available interval meter read data.
</t>
    </r>
  </si>
  <si>
    <t>F_VW3</t>
  </si>
  <si>
    <r>
      <t>Eskom requires the</t>
    </r>
    <r>
      <rPr>
        <b/>
        <sz val="8"/>
        <rFont val="Arial"/>
        <family val="2"/>
      </rPr>
      <t xml:space="preserve"> "consolidated wheeling data environment" </t>
    </r>
    <r>
      <rPr>
        <sz val="8"/>
        <rFont val="Arial"/>
        <family val="2"/>
      </rPr>
      <t>to be able to</t>
    </r>
    <r>
      <rPr>
        <b/>
        <sz val="8"/>
        <rFont val="Arial"/>
        <family val="2"/>
      </rPr>
      <t xml:space="preserve"> calculate consolidated wheeled energy</t>
    </r>
    <r>
      <rPr>
        <sz val="8"/>
        <rFont val="Arial"/>
        <family val="2"/>
      </rPr>
      <t xml:space="preserve"> </t>
    </r>
    <r>
      <rPr>
        <b/>
        <sz val="8"/>
        <rFont val="Arial"/>
        <family val="2"/>
      </rPr>
      <t>allocations and refunds / credits for a large customer with many customer premises</t>
    </r>
    <r>
      <rPr>
        <sz val="8"/>
        <rFont val="Arial"/>
        <family val="2"/>
      </rPr>
      <t xml:space="preserve"> i.e., single refund / credit for all customer premises.</t>
    </r>
  </si>
  <si>
    <t>F_VW4</t>
  </si>
  <si>
    <r>
      <t>Eskom requires the</t>
    </r>
    <r>
      <rPr>
        <b/>
        <sz val="8"/>
        <rFont val="Arial"/>
        <family val="2"/>
      </rPr>
      <t xml:space="preserve"> "consolidated wheeling data environment"</t>
    </r>
    <r>
      <rPr>
        <sz val="8"/>
        <rFont val="Arial"/>
        <family val="2"/>
      </rPr>
      <t xml:space="preserve"> to be able to </t>
    </r>
    <r>
      <rPr>
        <b/>
        <sz val="8"/>
        <rFont val="Arial"/>
        <family val="2"/>
      </rPr>
      <t>receive and process information from other data aggregators / platforms:</t>
    </r>
    <r>
      <rPr>
        <sz val="8"/>
        <rFont val="Arial"/>
        <family val="2"/>
      </rPr>
      <t xml:space="preserve">
- Ability to received and process information from other data aggregators e.g., large customers or market traders.</t>
    </r>
  </si>
  <si>
    <t>F_VW5</t>
  </si>
  <si>
    <t>Buyer / business portal</t>
  </si>
  <si>
    <r>
      <t>Eskom requires a</t>
    </r>
    <r>
      <rPr>
        <b/>
        <sz val="8"/>
        <rFont val="Arial"/>
        <family val="2"/>
      </rPr>
      <t xml:space="preserve"> "buyer / business portal" </t>
    </r>
    <r>
      <rPr>
        <sz val="8"/>
        <rFont val="Arial"/>
        <family val="2"/>
      </rPr>
      <t>for all wheeling related activities e.g., registration of users and associated meters, energy wheeling configuration, uploading of meter read data (where applicable), viewing of dashboards and reports etc.
- Buyer / business wheeling portal to use data from the “consolidated wheeling data environment”.</t>
    </r>
  </si>
  <si>
    <t>F_VW6</t>
  </si>
  <si>
    <r>
      <t xml:space="preserve">Eskom requires the ability for users (or Eskom application support) to </t>
    </r>
    <r>
      <rPr>
        <b/>
        <sz val="8"/>
        <rFont val="Arial"/>
        <family val="2"/>
      </rPr>
      <t>configure / customize the "buyer / business portal" landing page for the applicable types of users</t>
    </r>
    <r>
      <rPr>
        <sz val="8"/>
        <rFont val="Arial"/>
        <family val="2"/>
      </rPr>
      <t xml:space="preserve"> e.g., Eskom management, Eskom user and buyers.</t>
    </r>
  </si>
  <si>
    <t>F_VW7</t>
  </si>
  <si>
    <r>
      <t xml:space="preserve">Eskom requires the </t>
    </r>
    <r>
      <rPr>
        <b/>
        <sz val="8"/>
        <rFont val="Arial"/>
        <family val="2"/>
      </rPr>
      <t>"buyer / business portal"</t>
    </r>
    <r>
      <rPr>
        <sz val="8"/>
        <rFont val="Arial"/>
        <family val="2"/>
      </rPr>
      <t xml:space="preserve"> to</t>
    </r>
    <r>
      <rPr>
        <b/>
        <sz val="8"/>
        <rFont val="Arial"/>
        <family val="2"/>
      </rPr>
      <t xml:space="preserve"> create users and profiles for buyers and Eskom users, as per below:</t>
    </r>
    <r>
      <rPr>
        <sz val="8"/>
        <rFont val="Arial"/>
        <family val="2"/>
      </rPr>
      <t xml:space="preserve">
- Ability to create users for buyers and Eskom users. 
- Ability to create user profiles e.g., 
   o View relevant allocated buyer and energy information.
   o Edit relevant energy wheeling configuration parameters.
   o Upload relevant buyer interval meter read data.
   o Create / apply energy wheeling configurations.
   o View relevant dashboards, views or reports.
   o Etc.
- Ability to apply user profiles to users.</t>
    </r>
  </si>
  <si>
    <t>F_VW8</t>
  </si>
  <si>
    <r>
      <t xml:space="preserve">Eskom requires the </t>
    </r>
    <r>
      <rPr>
        <b/>
        <sz val="8"/>
        <rFont val="Arial"/>
        <family val="2"/>
      </rPr>
      <t xml:space="preserve">"buyer / business portal" </t>
    </r>
    <r>
      <rPr>
        <sz val="8"/>
        <rFont val="Arial"/>
        <family val="2"/>
      </rPr>
      <t xml:space="preserve">to be able to </t>
    </r>
    <r>
      <rPr>
        <b/>
        <sz val="8"/>
        <rFont val="Arial"/>
        <family val="2"/>
      </rPr>
      <t>limit user access</t>
    </r>
    <r>
      <rPr>
        <sz val="8"/>
        <rFont val="Arial"/>
        <family val="2"/>
      </rPr>
      <t xml:space="preserve"> in the following ways:
- Ability to grant a buyer access to only buyer’s own data and energy wheeling configuration.
- Ability to grant Eskom users access to a selection of customer accounts by ring-fencing individual based on:
  o A selection of accounts e.g., for a customer executive
  o Accounts in a certain business area e.g., per OU
  o Etc.</t>
    </r>
  </si>
  <si>
    <t>F_VW9</t>
  </si>
  <si>
    <r>
      <t xml:space="preserve">Eskom requires the </t>
    </r>
    <r>
      <rPr>
        <b/>
        <sz val="8"/>
        <rFont val="Arial"/>
        <family val="2"/>
      </rPr>
      <t>"buyer / business portal"</t>
    </r>
    <r>
      <rPr>
        <sz val="8"/>
        <rFont val="Arial"/>
        <family val="2"/>
      </rPr>
      <t xml:space="preserve"> to be able to register data associated with buyers e.g., accounts, premises and meters:
- Formally register (make available) new data in the “consolidated wheeling data environment”.</t>
    </r>
  </si>
  <si>
    <t>F_VW10</t>
  </si>
  <si>
    <r>
      <t xml:space="preserve">Eskom requires the </t>
    </r>
    <r>
      <rPr>
        <b/>
        <sz val="8"/>
        <rFont val="Arial"/>
        <family val="2"/>
      </rPr>
      <t>"buyer / business portal"</t>
    </r>
    <r>
      <rPr>
        <sz val="8"/>
        <rFont val="Arial"/>
        <family val="2"/>
      </rPr>
      <t xml:space="preserve"> to be able to register more than one user per buyer.
- Eskom to provide maximum registered users per buyer.</t>
    </r>
  </si>
  <si>
    <t>F_VW11</t>
  </si>
  <si>
    <r>
      <t>Eskom requires the</t>
    </r>
    <r>
      <rPr>
        <b/>
        <sz val="8"/>
        <rFont val="Arial"/>
        <family val="2"/>
      </rPr>
      <t xml:space="preserve"> "buyer / business portal" </t>
    </r>
    <r>
      <rPr>
        <sz val="8"/>
        <rFont val="Arial"/>
        <family val="2"/>
      </rPr>
      <t xml:space="preserve">to be able to </t>
    </r>
    <r>
      <rPr>
        <b/>
        <sz val="8"/>
        <rFont val="Arial"/>
        <family val="2"/>
      </rPr>
      <t>create / apply energy wheeling configurations:</t>
    </r>
    <r>
      <rPr>
        <sz val="8"/>
        <rFont val="Arial"/>
        <family val="2"/>
      </rPr>
      <t xml:space="preserve">
o Ability to create / apply energy wheeling configurations. 
o Provide a simple association / link between generators and off takers e.g., via accounts, service agreements, premises or meters.
o An energy wheeling configuration should minimally have: 
  - </t>
    </r>
    <r>
      <rPr>
        <i/>
        <sz val="8"/>
        <color rgb="FF7030A0"/>
        <rFont val="Arial"/>
        <family val="2"/>
      </rPr>
      <t>Association / link between generators and off takers</t>
    </r>
    <r>
      <rPr>
        <sz val="8"/>
        <color rgb="FF7030A0"/>
        <rFont val="Arial"/>
        <family val="2"/>
      </rPr>
      <t xml:space="preserve"> </t>
    </r>
    <r>
      <rPr>
        <sz val="8"/>
        <rFont val="Arial"/>
        <family val="2"/>
      </rPr>
      <t xml:space="preserve">e.g., via accounts, service agreements, premises or meters
  - </t>
    </r>
    <r>
      <rPr>
        <i/>
        <sz val="8"/>
        <color rgb="FF7030A0"/>
        <rFont val="Arial"/>
        <family val="2"/>
      </rPr>
      <t>Association / link between consolidated accounts for buyers (corporate entities or traders) and their load accounts</t>
    </r>
    <r>
      <rPr>
        <sz val="8"/>
        <rFont val="Arial"/>
        <family val="2"/>
      </rPr>
      <t xml:space="preserve">
  - </t>
    </r>
    <r>
      <rPr>
        <i/>
        <sz val="8"/>
        <color rgb="FF7030A0"/>
        <rFont val="Arial"/>
        <family val="2"/>
      </rPr>
      <t>Wheeling allocation option</t>
    </r>
    <r>
      <rPr>
        <sz val="8"/>
        <rFont val="Arial"/>
        <family val="2"/>
      </rPr>
      <t xml:space="preserve"> - percentage / amount of wheeled energy allocation per generator / off taker
  - </t>
    </r>
    <r>
      <rPr>
        <i/>
        <sz val="8"/>
        <color rgb="FF7030A0"/>
        <rFont val="Arial"/>
        <family val="2"/>
      </rPr>
      <t>Financial refund / credit option</t>
    </r>
  </si>
  <si>
    <t>F_VW12</t>
  </si>
  <si>
    <r>
      <t xml:space="preserve">Eskom requires the </t>
    </r>
    <r>
      <rPr>
        <b/>
        <sz val="8"/>
        <rFont val="Arial"/>
        <family val="2"/>
      </rPr>
      <t xml:space="preserve">"buyer / business portal" </t>
    </r>
    <r>
      <rPr>
        <sz val="8"/>
        <rFont val="Arial"/>
        <family val="2"/>
      </rPr>
      <t xml:space="preserve">to be able to </t>
    </r>
    <r>
      <rPr>
        <b/>
        <sz val="8"/>
        <rFont val="Arial"/>
        <family val="2"/>
      </rPr>
      <t>create / apply energy wheeling configuration – in bulk / batches:</t>
    </r>
    <r>
      <rPr>
        <sz val="8"/>
        <rFont val="Arial"/>
        <family val="2"/>
      </rPr>
      <t xml:space="preserve">
- Ability to create / apply energy wheeling configurations in bulk. 
Note:
- Possibly use a bulk configuration file that can be imported into the buyer / business portal.</t>
    </r>
  </si>
  <si>
    <t>F_VW13</t>
  </si>
  <si>
    <r>
      <t xml:space="preserve">Eskom requires the </t>
    </r>
    <r>
      <rPr>
        <b/>
        <sz val="8"/>
        <rFont val="Arial"/>
        <family val="2"/>
      </rPr>
      <t xml:space="preserve">"buyer / business portal" </t>
    </r>
    <r>
      <rPr>
        <sz val="8"/>
        <rFont val="Arial"/>
        <family val="2"/>
      </rPr>
      <t>to be able to</t>
    </r>
    <r>
      <rPr>
        <b/>
        <sz val="8"/>
        <rFont val="Arial"/>
        <family val="2"/>
      </rPr>
      <t xml:space="preserve"> retain energy wheeling configuration history:</t>
    </r>
    <r>
      <rPr>
        <sz val="8"/>
        <rFont val="Arial"/>
        <family val="2"/>
      </rPr>
      <t xml:space="preserve">
- Ability to maintain a history of energy wheeling configuration changes e.g., changes to off takers per generator or percentage allocation per off taker .
- Data retention for Eskom audit perspective - minimum 5 years</t>
    </r>
  </si>
  <si>
    <t>F_VW14</t>
  </si>
  <si>
    <r>
      <t xml:space="preserve">Eskom requires the </t>
    </r>
    <r>
      <rPr>
        <b/>
        <sz val="8"/>
        <rFont val="Arial"/>
        <family val="2"/>
      </rPr>
      <t xml:space="preserve">"buyer / business wheeling portal" </t>
    </r>
    <r>
      <rPr>
        <sz val="8"/>
        <rFont val="Arial"/>
        <family val="2"/>
      </rPr>
      <t xml:space="preserve">to </t>
    </r>
    <r>
      <rPr>
        <b/>
        <sz val="8"/>
        <rFont val="Arial"/>
        <family val="2"/>
      </rPr>
      <t>allow buyer submission of interval meter read data</t>
    </r>
    <r>
      <rPr>
        <sz val="8"/>
        <rFont val="Arial"/>
        <family val="2"/>
      </rPr>
      <t xml:space="preserve">: 
(For wheeling directly to customers behind municipal boundaries)
- Ability to accept and process buyer submission of interval meter read data for customers behind municipal boundaries.
- Ability to upload interval meter read data in bulk for multiple buyers. 
</t>
    </r>
  </si>
  <si>
    <t>F_VW15</t>
  </si>
  <si>
    <r>
      <t xml:space="preserve">Eskom requires the </t>
    </r>
    <r>
      <rPr>
        <b/>
        <sz val="8"/>
        <rFont val="Arial"/>
        <family val="2"/>
      </rPr>
      <t xml:space="preserve">"buyer / business wheeling portal" </t>
    </r>
    <r>
      <rPr>
        <sz val="8"/>
        <rFont val="Arial"/>
        <family val="2"/>
      </rPr>
      <t xml:space="preserve">to </t>
    </r>
    <r>
      <rPr>
        <b/>
        <sz val="8"/>
        <rFont val="Arial"/>
        <family val="2"/>
      </rPr>
      <t>allow buyer submission of energy wheeling allocation parameters:</t>
    </r>
    <r>
      <rPr>
        <sz val="8"/>
        <rFont val="Arial"/>
        <family val="2"/>
      </rPr>
      <t xml:space="preserve">
- Ability for buyers to configure the percentage / amount of wheeled energy allocation per generator and customer premises.</t>
    </r>
  </si>
  <si>
    <t>F_VW16</t>
  </si>
  <si>
    <r>
      <t>Eskom requires the</t>
    </r>
    <r>
      <rPr>
        <b/>
        <sz val="8"/>
        <rFont val="Arial"/>
        <family val="2"/>
      </rPr>
      <t xml:space="preserve"> "buyer / business portal"</t>
    </r>
    <r>
      <rPr>
        <sz val="8"/>
        <rFont val="Arial"/>
        <family val="2"/>
      </rPr>
      <t xml:space="preserve"> to </t>
    </r>
    <r>
      <rPr>
        <b/>
        <sz val="8"/>
        <rFont val="Arial"/>
        <family val="2"/>
      </rPr>
      <t>enforce buyer information submission “hard cut-off dates”:</t>
    </r>
    <r>
      <rPr>
        <sz val="8"/>
        <rFont val="Arial"/>
        <family val="2"/>
      </rPr>
      <t xml:space="preserve">
- Ability to enforce hard cut-off dates by which:
  o Buyers are expected to change energy wheeling allocation parameters.
  o Customers behind municipal boundaries are expected to upload relevant interval meter read data.  
Note:
- Hard cut-off date → date when reconciliation of accounts will be started. </t>
    </r>
  </si>
  <si>
    <t>F_VW17</t>
  </si>
  <si>
    <r>
      <t>Eskom requires the</t>
    </r>
    <r>
      <rPr>
        <b/>
        <sz val="8"/>
        <rFont val="Arial"/>
        <family val="2"/>
      </rPr>
      <t xml:space="preserve"> "buyer / business portal"</t>
    </r>
    <r>
      <rPr>
        <sz val="8"/>
        <rFont val="Arial"/>
        <family val="2"/>
      </rPr>
      <t xml:space="preserve"> to be able to configure business rules to identify accounts that qualify for wheeling:
- Allow Eskom application support to configure business rules to identify accounts that qualify for wheeling e.g., a certain amount of debt or timing of wheeling refund / credit claim.</t>
    </r>
  </si>
  <si>
    <t>F_VW18</t>
  </si>
  <si>
    <r>
      <t xml:space="preserve">Eskom requires the </t>
    </r>
    <r>
      <rPr>
        <b/>
        <sz val="8"/>
        <rFont val="Arial"/>
        <family val="2"/>
      </rPr>
      <t xml:space="preserve">"buyer / business portal" </t>
    </r>
    <r>
      <rPr>
        <sz val="8"/>
        <rFont val="Arial"/>
        <family val="2"/>
      </rPr>
      <t xml:space="preserve">to be able to </t>
    </r>
    <r>
      <rPr>
        <b/>
        <sz val="8"/>
        <rFont val="Arial"/>
        <family val="2"/>
      </rPr>
      <t xml:space="preserve">provide buyer / business user alerts </t>
    </r>
    <r>
      <rPr>
        <sz val="8"/>
        <rFont val="Arial"/>
        <family val="2"/>
      </rPr>
      <t xml:space="preserve">e.g. user alerts re timing of customer data or configuration submissions.
</t>
    </r>
    <r>
      <rPr>
        <sz val="8"/>
        <color theme="0" tint="-0.249977111117893"/>
        <rFont val="Arial"/>
        <family val="2"/>
      </rPr>
      <t xml:space="preserve"> </t>
    </r>
  </si>
  <si>
    <t>F_VW19</t>
  </si>
  <si>
    <r>
      <t>Eskom requires the</t>
    </r>
    <r>
      <rPr>
        <b/>
        <sz val="8"/>
        <rFont val="Arial"/>
        <family val="2"/>
      </rPr>
      <t xml:space="preserve"> "buyer / business portal"</t>
    </r>
    <r>
      <rPr>
        <sz val="8"/>
        <rFont val="Arial"/>
        <family val="2"/>
      </rPr>
      <t xml:space="preserve"> to be able to </t>
    </r>
    <r>
      <rPr>
        <b/>
        <sz val="8"/>
        <rFont val="Arial"/>
        <family val="2"/>
      </rPr>
      <t>export data</t>
    </r>
    <r>
      <rPr>
        <sz val="8"/>
        <rFont val="Arial"/>
        <family val="2"/>
      </rPr>
      <t>:
- Ability for buyers to do a limited export of data e.g., interval meter reads, basic customer information and energy wheeling configuration.
- Ability to export data for multiple accounts or groups of accounts.
Note:
- Buyers should only have access to their own data.
- Eskom to advise re workable data export limits.</t>
    </r>
  </si>
  <si>
    <t>F_VW20</t>
  </si>
  <si>
    <r>
      <t xml:space="preserve">Eskom requires the </t>
    </r>
    <r>
      <rPr>
        <b/>
        <sz val="8"/>
        <rFont val="Arial"/>
        <family val="2"/>
      </rPr>
      <t xml:space="preserve">"buyer / business portal" </t>
    </r>
    <r>
      <rPr>
        <sz val="8"/>
        <rFont val="Arial"/>
        <family val="2"/>
      </rPr>
      <t xml:space="preserve">to allow </t>
    </r>
    <r>
      <rPr>
        <b/>
        <sz val="8"/>
        <rFont val="Arial"/>
        <family val="2"/>
      </rPr>
      <t xml:space="preserve">Eskom users to validate and approve energy wheeling refund / credit:
</t>
    </r>
    <r>
      <rPr>
        <sz val="8"/>
        <rFont val="Arial"/>
        <family val="2"/>
      </rPr>
      <t>- Relevant Eskom user to validate and approve energy wheeling refund / credit before financial processing.
- Validations of energy wheeling refund / credit:
  o Some validations may be automated.
- Approvals of energy wheeling refund / credit:
  o Approvals to be manually done by Eskom staff.
  o Scenarios for automation of approvals to be considered later. 
Note:
- Eskom to confirm appropriate validations.</t>
    </r>
  </si>
  <si>
    <t>F_VW21</t>
  </si>
  <si>
    <t>Reporting / Analytics</t>
  </si>
  <si>
    <r>
      <t xml:space="preserve">Eskom requires an </t>
    </r>
    <r>
      <rPr>
        <b/>
        <sz val="8"/>
        <rFont val="Arial"/>
        <family val="2"/>
      </rPr>
      <t xml:space="preserve">analytics / reporting capability i.e., dashboards, reports or views </t>
    </r>
    <r>
      <rPr>
        <sz val="8"/>
        <rFont val="Arial"/>
        <family val="2"/>
      </rPr>
      <t>in the</t>
    </r>
    <r>
      <rPr>
        <b/>
        <sz val="8"/>
        <rFont val="Arial"/>
        <family val="2"/>
      </rPr>
      <t xml:space="preserve"> "buyer / business portal" </t>
    </r>
  </si>
  <si>
    <t>F_VW22</t>
  </si>
  <si>
    <r>
      <t>Eskom requires</t>
    </r>
    <r>
      <rPr>
        <b/>
        <sz val="8"/>
        <rFont val="Arial"/>
        <family val="2"/>
      </rPr>
      <t xml:space="preserve"> “near” real-time analytics / reports </t>
    </r>
    <r>
      <rPr>
        <sz val="8"/>
        <rFont val="Arial"/>
        <family val="2"/>
      </rPr>
      <t>in the</t>
    </r>
    <r>
      <rPr>
        <b/>
        <sz val="8"/>
        <rFont val="Arial"/>
        <family val="2"/>
      </rPr>
      <t xml:space="preserve"> "buyer / business portal"
</t>
    </r>
    <r>
      <rPr>
        <sz val="8"/>
        <rFont val="Arial"/>
        <family val="2"/>
      </rPr>
      <t>- Access to fresh data and fast queries for faster decision-making, automated intelligence and time-sensitive interventions.
- Minimum 24 hrs.</t>
    </r>
  </si>
  <si>
    <r>
      <t xml:space="preserve">Vendor Comments: </t>
    </r>
    <r>
      <rPr>
        <sz val="8"/>
        <color theme="1"/>
        <rFont val="Arial"/>
        <family val="2"/>
      </rPr>
      <t>Vendor to inidcate any comments for information/clarification. (Not for scoring purposes)</t>
    </r>
  </si>
  <si>
    <r>
      <t>Eskom requires a</t>
    </r>
    <r>
      <rPr>
        <b/>
        <sz val="8"/>
        <rFont val="Arial"/>
        <family val="2"/>
      </rPr>
      <t xml:space="preserve"> "consolidated wheeling data environment" to be able to source (XYZ contains / store) data for energy wheeling calculations / reporting:</t>
    </r>
    <r>
      <rPr>
        <sz val="8"/>
        <rFont val="Arial"/>
        <family val="2"/>
      </rPr>
      <t xml:space="preserve">
</t>
    </r>
    <r>
      <rPr>
        <b/>
        <sz val="8"/>
        <rFont val="Arial"/>
        <family val="2"/>
      </rPr>
      <t>1. Interval meter read data</t>
    </r>
    <r>
      <rPr>
        <sz val="8"/>
        <rFont val="Arial"/>
        <family val="2"/>
      </rPr>
      <t xml:space="preserve">
(Generators, Eskom customers and customer behind municipal boundaries)
</t>
    </r>
    <r>
      <rPr>
        <b/>
        <sz val="8"/>
        <rFont val="Arial"/>
        <family val="2"/>
      </rPr>
      <t>2. Basic customer information from the billing system</t>
    </r>
    <r>
      <rPr>
        <sz val="8"/>
        <rFont val="Arial"/>
        <family val="2"/>
      </rPr>
      <t xml:space="preserve">
(Persons, Accounts, Service agreements and Premises, Detailed bill line items, Business areas (Clusters, Operating Units etc. for both retail and wires perspectives).
</t>
    </r>
    <r>
      <rPr>
        <b/>
        <sz val="8"/>
        <rFont val="Arial"/>
        <family val="2"/>
      </rPr>
      <t>3. Energy wheeling configuration</t>
    </r>
    <r>
      <rPr>
        <sz val="8"/>
        <rFont val="Arial"/>
        <family val="2"/>
      </rPr>
      <t xml:space="preserve">
(Contracted energy wheeling configuration and history)
</t>
    </r>
    <r>
      <rPr>
        <b/>
        <sz val="8"/>
        <color rgb="FF00B050"/>
        <rFont val="Arial"/>
        <family val="2"/>
      </rPr>
      <t>XYZ Additional info for cust beyond munic boundaries (munic connected points) e.g. mtr, address, cust person info...</t>
    </r>
  </si>
  <si>
    <t>In your technical response select one of  the options below to describe how the required functionality could be delivered, and indicate via screenshots and / or indicate the relevant modules required to provide the functionality:
5. Standard functionality
4. Deliver by configuration
3. Deliver by built in customization tools
2. Deliver by development (changes are preserved in future upgrades)
1. Deliver by development (BUT changes NOT preserved in future upgrades)
0. Not Possible</t>
  </si>
  <si>
    <r>
      <t>&lt;</t>
    </r>
    <r>
      <rPr>
        <b/>
        <i/>
        <sz val="8"/>
        <color rgb="FFFF0000"/>
        <rFont val="Arial"/>
        <family val="2"/>
      </rPr>
      <t>Example for how to complete this whole column:</t>
    </r>
    <r>
      <rPr>
        <i/>
        <sz val="8"/>
        <color rgb="FFFF0000"/>
        <rFont val="Arial"/>
        <family val="2"/>
      </rPr>
      <t xml:space="preserve"> Technical File, section 5 (company backgroun section), page 11&gt;</t>
    </r>
  </si>
  <si>
    <r>
      <t xml:space="preserve">Standard functionality </t>
    </r>
    <r>
      <rPr>
        <b/>
        <sz val="8"/>
        <rFont val="Arial"/>
        <family val="2"/>
      </rPr>
      <t xml:space="preserve">or </t>
    </r>
    <r>
      <rPr>
        <sz val="8"/>
        <rFont val="Arial"/>
        <family val="2"/>
      </rPr>
      <t>can be delivered by configuration.</t>
    </r>
  </si>
  <si>
    <r>
      <t xml:space="preserve">Functionality can be delivered by built in customization tools </t>
    </r>
    <r>
      <rPr>
        <b/>
        <sz val="8"/>
        <rFont val="Arial"/>
        <family val="2"/>
      </rPr>
      <t xml:space="preserve">or </t>
    </r>
    <r>
      <rPr>
        <sz val="8"/>
        <rFont val="Arial"/>
        <family val="2"/>
      </rPr>
      <t>can be delivered by development with changes preserved in future upgrades.</t>
    </r>
  </si>
  <si>
    <r>
      <t xml:space="preserve">Functionality can be delivered by development but changes are not preserved in future upgrades </t>
    </r>
    <r>
      <rPr>
        <b/>
        <sz val="8"/>
        <rFont val="Arial"/>
        <family val="2"/>
      </rPr>
      <t>or</t>
    </r>
    <r>
      <rPr>
        <sz val="8"/>
        <rFont val="Arial"/>
        <family val="2"/>
      </rPr>
      <t xml:space="preserve"> it is not possible to provide this functionality.</t>
    </r>
  </si>
  <si>
    <r>
      <rPr>
        <sz val="8"/>
        <color rgb="FF0070C0"/>
        <rFont val="Arial"/>
        <family val="2"/>
      </rPr>
      <t>Eskom requires the</t>
    </r>
    <r>
      <rPr>
        <b/>
        <sz val="8"/>
        <color rgb="FF0070C0"/>
        <rFont val="Arial"/>
        <family val="2"/>
      </rPr>
      <t xml:space="preserve"> "consolidated wheeling data environment" to be able to calculate wheeled energy refunds / credits:</t>
    </r>
    <r>
      <rPr>
        <sz val="8"/>
        <rFont val="Arial"/>
        <family val="2"/>
      </rPr>
      <t xml:space="preserve">
- Ability to </t>
    </r>
    <r>
      <rPr>
        <b/>
        <sz val="8"/>
        <rFont val="Arial"/>
        <family val="2"/>
      </rPr>
      <t>calculate wheeled energy allocations and refunds / credits</t>
    </r>
    <r>
      <rPr>
        <sz val="8"/>
        <rFont val="Arial"/>
        <family val="2"/>
      </rPr>
      <t xml:space="preserve"> for configured qualifying customer premises (or municipal customers) using available interval meter read data.
- Ability to </t>
    </r>
    <r>
      <rPr>
        <b/>
        <sz val="8"/>
        <rFont val="Arial"/>
        <family val="2"/>
      </rPr>
      <t>calculate consolidated wheeled energy</t>
    </r>
    <r>
      <rPr>
        <sz val="8"/>
        <rFont val="Arial"/>
        <family val="2"/>
      </rPr>
      <t xml:space="preserve"> </t>
    </r>
    <r>
      <rPr>
        <b/>
        <sz val="8"/>
        <rFont val="Arial"/>
        <family val="2"/>
      </rPr>
      <t>allocations and refunds / credits for a large customer with many customer premises</t>
    </r>
    <r>
      <rPr>
        <sz val="8"/>
        <rFont val="Arial"/>
        <family val="2"/>
      </rPr>
      <t xml:space="preserve"> i.e., single refund / credit for all customer premises.</t>
    </r>
  </si>
  <si>
    <r>
      <t>Eskom requires the</t>
    </r>
    <r>
      <rPr>
        <b/>
        <sz val="8"/>
        <rFont val="Arial"/>
        <family val="2"/>
      </rPr>
      <t xml:space="preserve"> "consolidated wheeling data environment" to</t>
    </r>
    <r>
      <rPr>
        <sz val="8"/>
        <rFont val="Arial"/>
        <family val="2"/>
      </rPr>
      <t xml:space="preserve"> </t>
    </r>
    <r>
      <rPr>
        <b/>
        <sz val="8"/>
        <rFont val="Arial"/>
        <family val="2"/>
      </rPr>
      <t>transfer wheeled energy refunds / credits to the billing system</t>
    </r>
    <r>
      <rPr>
        <sz val="8"/>
        <rFont val="Arial"/>
        <family val="2"/>
      </rPr>
      <t xml:space="preserve"> for further processing.</t>
    </r>
  </si>
  <si>
    <t>JB: Not needed here… just integration stuff?? 
Out…</t>
  </si>
  <si>
    <r>
      <t>Eskom requires the</t>
    </r>
    <r>
      <rPr>
        <b/>
        <sz val="8"/>
        <rFont val="Arial"/>
        <family val="2"/>
      </rPr>
      <t xml:space="preserve"> "consolidated wheeling data environment" to</t>
    </r>
    <r>
      <rPr>
        <sz val="8"/>
        <rFont val="Arial"/>
        <family val="2"/>
      </rPr>
      <t xml:space="preserve"> t</t>
    </r>
    <r>
      <rPr>
        <b/>
        <sz val="8"/>
        <rFont val="Arial"/>
        <family val="2"/>
      </rPr>
      <t>ransfer energy wheeling configuration (or configuration changes) to the billing system.</t>
    </r>
  </si>
  <si>
    <t>JB: Not needed here… just integration stuff??</t>
  </si>
  <si>
    <r>
      <t>Eskom requires the</t>
    </r>
    <r>
      <rPr>
        <b/>
        <sz val="8"/>
        <rFont val="Arial"/>
        <family val="2"/>
      </rPr>
      <t xml:space="preserve"> "consolidated wheeling data environment" to be able to</t>
    </r>
    <r>
      <rPr>
        <sz val="8"/>
        <rFont val="Arial"/>
        <family val="2"/>
      </rPr>
      <t xml:space="preserve"> </t>
    </r>
    <r>
      <rPr>
        <b/>
        <sz val="8"/>
        <rFont val="Arial"/>
        <family val="2"/>
      </rPr>
      <t>receive and process information from other data aggregators / platforms:</t>
    </r>
    <r>
      <rPr>
        <sz val="8"/>
        <rFont val="Arial"/>
        <family val="2"/>
      </rPr>
      <t xml:space="preserve">
- Ability to received and process information from other data aggregators e.g., large customers or market traders.</t>
    </r>
  </si>
  <si>
    <r>
      <t xml:space="preserve">Buyer / business </t>
    </r>
    <r>
      <rPr>
        <b/>
        <strike/>
        <sz val="8"/>
        <rFont val="Arial"/>
        <family val="2"/>
      </rPr>
      <t>wheeling</t>
    </r>
    <r>
      <rPr>
        <b/>
        <sz val="8"/>
        <rFont val="Arial"/>
        <family val="2"/>
      </rPr>
      <t xml:space="preserve"> portal</t>
    </r>
  </si>
  <si>
    <r>
      <t>Eskom requires a</t>
    </r>
    <r>
      <rPr>
        <b/>
        <sz val="8"/>
        <rFont val="Arial"/>
        <family val="2"/>
      </rPr>
      <t xml:space="preserve"> buyer / business </t>
    </r>
    <r>
      <rPr>
        <b/>
        <strike/>
        <sz val="8"/>
        <rFont val="Arial"/>
        <family val="2"/>
      </rPr>
      <t>wheeling</t>
    </r>
    <r>
      <rPr>
        <b/>
        <sz val="8"/>
        <rFont val="Arial"/>
        <family val="2"/>
      </rPr>
      <t xml:space="preserve"> portal</t>
    </r>
    <r>
      <rPr>
        <sz val="8"/>
        <rFont val="Arial"/>
        <family val="2"/>
      </rPr>
      <t xml:space="preserve">. </t>
    </r>
    <r>
      <rPr>
        <b/>
        <sz val="8"/>
        <rFont val="Arial"/>
        <family val="2"/>
      </rPr>
      <t>(XYZ Portal… web…)</t>
    </r>
    <r>
      <rPr>
        <sz val="8"/>
        <rFont val="Arial"/>
        <family val="2"/>
      </rPr>
      <t xml:space="preserve">
- Buyer / business wheeling portal to use data from the “consolidated wheeling data environment”.</t>
    </r>
  </si>
  <si>
    <t>Buyer / business wheeling portal</t>
  </si>
  <si>
    <r>
      <t xml:space="preserve">Eskom requires a </t>
    </r>
    <r>
      <rPr>
        <b/>
        <sz val="8"/>
        <rFont val="Arial"/>
        <family val="2"/>
      </rPr>
      <t>buyer / business wheeling portal landing page</t>
    </r>
    <r>
      <rPr>
        <sz val="8"/>
        <rFont val="Arial"/>
        <family val="2"/>
      </rPr>
      <t xml:space="preserve"> that minimally should:
1. For buyers: starting point or filter → customer, premise (or municipal customers), account, generator or group of customers (for traders or corporate entities)
- Basic customer information
- Customer energy wheeling configuration
o E.g., generators and customer premise allocation % 
- Summary of bills, energy wheeled, energy offset (credited), energy bought by Eskom etc.
o Current month detail
o Recent trends → for the past year
- Contact information for any customer billing queries etc.
2. Eskom starting point or filter → customer, premise (or municipal customers), account, generator or business area: 
- High-level summary of number of accounts, number of customer premises, bills, energy wheeled, energy offset (credited), energy bought by Eskom etc.
o Current month detail
o Recent trends → for the past year</t>
    </r>
  </si>
  <si>
    <t>JB - don't include - part of detailed scope.</t>
  </si>
  <si>
    <r>
      <t xml:space="preserve">Eskom requires the </t>
    </r>
    <r>
      <rPr>
        <b/>
        <sz val="8"/>
        <rFont val="Arial"/>
        <family val="2"/>
      </rPr>
      <t>"buyer / business wheeling portal" to be able to register users</t>
    </r>
    <r>
      <rPr>
        <sz val="8"/>
        <rFont val="Arial"/>
        <family val="2"/>
      </rPr>
      <t>:
- Registration / access to the buyer / business wheeling portal to be granted by Eskom.</t>
    </r>
  </si>
  <si>
    <t xml:space="preserve">JB - don't include - part of detailed scope.
</t>
  </si>
  <si>
    <r>
      <t xml:space="preserve">Eskom requires the </t>
    </r>
    <r>
      <rPr>
        <b/>
        <sz val="8"/>
        <rFont val="Arial"/>
        <family val="2"/>
      </rPr>
      <t>"buyer / business wheeling portal"</t>
    </r>
    <r>
      <rPr>
        <sz val="8"/>
        <rFont val="Arial"/>
        <family val="2"/>
      </rPr>
      <t xml:space="preserve"> </t>
    </r>
    <r>
      <rPr>
        <b/>
        <sz val="8"/>
        <rFont val="Arial"/>
        <family val="2"/>
      </rPr>
      <t xml:space="preserve">to provide access control for buyers and Eskom users: </t>
    </r>
    <r>
      <rPr>
        <sz val="8"/>
        <rFont val="Arial"/>
        <family val="2"/>
      </rPr>
      <t xml:space="preserve">
- Ability to create users for buyers and Eskom users. 
- Ability to create user profiles e.g., 
o View relevant allocated buyer and energy information.
o Edit relevant energy wheeling configuration parameters.
o Upload relevant buyer interval meter read data.
o Create / apply energy wheeling configurations.
o View relevant dashboards, views or reports.
o Etc.
- Ability to apply user profiles to users.
Limit access:
- Ability to grant a buyer access to only buyer’s own data and energy wheeling configuration.
- Ability to grant Eskom users access to a selection of customer accounts by ring-fencing individual based on:
o A selection of accounts e.g., for a customer executive
o Accounts in a certain business area e.g., per OU
o Etc.</t>
    </r>
  </si>
  <si>
    <t>JB - Prob split…</t>
  </si>
  <si>
    <r>
      <t xml:space="preserve">Eskom requires the </t>
    </r>
    <r>
      <rPr>
        <b/>
        <sz val="8"/>
        <rFont val="Arial"/>
        <family val="2"/>
      </rPr>
      <t>"buyer / business wheeling portal" to be able to</t>
    </r>
    <r>
      <rPr>
        <sz val="8"/>
        <rFont val="Arial"/>
        <family val="2"/>
      </rPr>
      <t xml:space="preserve"> </t>
    </r>
    <r>
      <rPr>
        <b/>
        <sz val="8"/>
        <rFont val="Arial"/>
        <family val="2"/>
      </rPr>
      <t>allow buyers to provide third party access to their own data:</t>
    </r>
    <r>
      <rPr>
        <sz val="8"/>
        <rFont val="Arial"/>
        <family val="2"/>
      </rPr>
      <t xml:space="preserve">
- Allow buyers to provide access to their own data to a limited number of third parties e.g., trusted partner or vendor. </t>
    </r>
  </si>
  <si>
    <t>Remove this requirement entirely. Replace with more than one registered users per buyer… Eskom to provide maximum registered users.</t>
  </si>
  <si>
    <r>
      <t>Eskom requires the</t>
    </r>
    <r>
      <rPr>
        <b/>
        <sz val="8"/>
        <rFont val="Arial"/>
        <family val="2"/>
      </rPr>
      <t xml:space="preserve"> "buyer / business wheeling portal" to be able to</t>
    </r>
    <r>
      <rPr>
        <sz val="8"/>
        <rFont val="Arial"/>
        <family val="2"/>
      </rPr>
      <t xml:space="preserve"> </t>
    </r>
    <r>
      <rPr>
        <b/>
        <sz val="8"/>
        <rFont val="Arial"/>
        <family val="2"/>
      </rPr>
      <t>create / apply energy wheeling configuration:</t>
    </r>
    <r>
      <rPr>
        <sz val="8"/>
        <rFont val="Arial"/>
        <family val="2"/>
      </rPr>
      <t xml:space="preserve">
o Ability to create / apply energy wheeling configurations. 
o Provide a simple association / link between generators and off takers e.g., via accounts, service agreements, premises or meters.
o An energy wheeling configuration should minimally have: 
  - Association / link between generators and off takers e.g., via accounts, service agreements, premises or meters
  - Association / link between consolidated accounts for buyers (corporate entities or traders) and their load accounts
  - Wheeling allocation option - percentage / amount of wheeled energy allocation per generator / off taker
  - Financial refund / credit option </t>
    </r>
    <r>
      <rPr>
        <b/>
        <sz val="8"/>
        <rFont val="Arial"/>
        <family val="2"/>
      </rPr>
      <t>(XYZ define)</t>
    </r>
    <r>
      <rPr>
        <sz val="8"/>
        <rFont val="Arial"/>
        <family val="2"/>
      </rPr>
      <t xml:space="preserve">
</t>
    </r>
  </si>
  <si>
    <t>New requirements for virtual wheeling / std offer:
Allow buyer to allocate credit / refunds to list of accounts.
Allow buyer to submit list of accounts to allocate refunds / credits to.
Validation → at submission of accts to alloc credit / refund…
Nice to have...</t>
  </si>
  <si>
    <r>
      <t xml:space="preserve">Eskom requires the </t>
    </r>
    <r>
      <rPr>
        <b/>
        <sz val="8"/>
        <rFont val="Arial"/>
        <family val="2"/>
      </rPr>
      <t>"buyer / business wheeling portal" to be able to</t>
    </r>
    <r>
      <rPr>
        <sz val="8"/>
        <rFont val="Arial"/>
        <family val="2"/>
      </rPr>
      <t xml:space="preserve"> </t>
    </r>
    <r>
      <rPr>
        <b/>
        <sz val="8"/>
        <rFont val="Arial"/>
        <family val="2"/>
      </rPr>
      <t>create / apply energy wheeling configuration – in bulk / batches:</t>
    </r>
    <r>
      <rPr>
        <sz val="8"/>
        <rFont val="Arial"/>
        <family val="2"/>
      </rPr>
      <t xml:space="preserve">
- Ability to create / apply energy wheeling configurations in bulk. 
Note:
- Possibly use a bulk configuration file that can be imported into the buyer / business wheeling portal.</t>
    </r>
  </si>
  <si>
    <r>
      <t>Eskom requires the "</t>
    </r>
    <r>
      <rPr>
        <b/>
        <sz val="8"/>
        <rFont val="Arial"/>
        <family val="2"/>
      </rPr>
      <t>buyer / business wheeling portal" to be able to</t>
    </r>
    <r>
      <rPr>
        <sz val="8"/>
        <rFont val="Arial"/>
        <family val="2"/>
      </rPr>
      <t xml:space="preserve"> </t>
    </r>
    <r>
      <rPr>
        <b/>
        <sz val="8"/>
        <rFont val="Arial"/>
        <family val="2"/>
      </rPr>
      <t xml:space="preserve">create / apply energy wheeling configuration:
For wheeling directly to customers behind municipal boundaries  </t>
    </r>
    <r>
      <rPr>
        <sz val="8"/>
        <rFont val="Arial"/>
        <family val="2"/>
      </rPr>
      <t xml:space="preserve">
- Ability to create / apply energy wheeling configurations.
o Associate these customers with other existing Eskom customers and generators.</t>
    </r>
  </si>
  <si>
    <t>JB - don't include - repeated requirement for behind munic cust -  part of detailed scope.</t>
  </si>
  <si>
    <r>
      <t xml:space="preserve">Eskom requires the </t>
    </r>
    <r>
      <rPr>
        <b/>
        <sz val="8"/>
        <rFont val="Arial"/>
        <family val="2"/>
      </rPr>
      <t>"buyer / business wheeling portal" to be able to</t>
    </r>
    <r>
      <rPr>
        <sz val="8"/>
        <rFont val="Arial"/>
        <family val="2"/>
      </rPr>
      <t xml:space="preserve"> </t>
    </r>
    <r>
      <rPr>
        <b/>
        <sz val="8"/>
        <rFont val="Arial"/>
        <family val="2"/>
      </rPr>
      <t>create / apply energy wheeling configuration – in bulk / batches:
For wheeling directly to customers behind municipal boundaries 6</t>
    </r>
    <r>
      <rPr>
        <sz val="8"/>
        <rFont val="Arial"/>
        <family val="2"/>
      </rPr>
      <t xml:space="preserve">
- Ability to create / apply energy wheeling configurations in bulk. For example, add customers from behind municipal boundaries to the Eskom internal customers already configured and sourced from the billing system.
Note:
- Possibly use a bulk configuration file that can be imported into the buyer / business wheeling portal.</t>
    </r>
  </si>
  <si>
    <r>
      <t xml:space="preserve">Eskom requires the </t>
    </r>
    <r>
      <rPr>
        <b/>
        <sz val="8"/>
        <rFont val="Arial"/>
        <family val="2"/>
      </rPr>
      <t>"buyer / business wheeling portal"to be able to retain energy wheeling configuration history:</t>
    </r>
    <r>
      <rPr>
        <sz val="8"/>
        <rFont val="Arial"/>
        <family val="2"/>
      </rPr>
      <t xml:space="preserve">
- Ability to maintain a history of energy wheeling configuration changes e.g., changes to off takers per generator or percentage allocation per off taker </t>
    </r>
  </si>
  <si>
    <t xml:space="preserve">Min 5 years → Audit perspective
</t>
  </si>
  <si>
    <r>
      <rPr>
        <sz val="8"/>
        <color theme="4"/>
        <rFont val="Arial"/>
        <family val="2"/>
      </rPr>
      <t xml:space="preserve">Eskom requires the </t>
    </r>
    <r>
      <rPr>
        <b/>
        <sz val="8"/>
        <color theme="4"/>
        <rFont val="Arial"/>
        <family val="2"/>
      </rPr>
      <t>"buyer / business wheeling portal" to</t>
    </r>
    <r>
      <rPr>
        <sz val="8"/>
        <color theme="4"/>
        <rFont val="Arial"/>
        <family val="2"/>
      </rPr>
      <t xml:space="preserve"> </t>
    </r>
    <r>
      <rPr>
        <b/>
        <sz val="8"/>
        <color theme="4"/>
        <rFont val="Arial"/>
        <family val="2"/>
      </rPr>
      <t>allow buyer submission of interval meter read data</t>
    </r>
    <r>
      <rPr>
        <sz val="8"/>
        <color theme="4"/>
        <rFont val="Arial"/>
        <family val="2"/>
      </rPr>
      <t xml:space="preserve">: 
For wheeling directly to customers behind municipal boundaries 7
- Ability to accept and process buyer submission of interval meter read data for customers behind municipal boundaries.
- Ability to upload interval meter read data in bulk for multiple buyers. 
</t>
    </r>
    <r>
      <rPr>
        <strike/>
        <sz val="8"/>
        <rFont val="Arial"/>
        <family val="2"/>
      </rPr>
      <t>- Where possible, provide automated acquisition of interval meter read data.</t>
    </r>
    <r>
      <rPr>
        <sz val="8"/>
        <rFont val="Arial"/>
        <family val="2"/>
      </rPr>
      <t xml:space="preserve">
- Ability for buyer to delete erroneous interval meter read data. </t>
    </r>
    <r>
      <rPr>
        <b/>
        <sz val="8"/>
        <rFont val="Arial"/>
        <family val="2"/>
      </rPr>
      <t>X Remove and resubmit. Instead say... update data submitted...</t>
    </r>
    <r>
      <rPr>
        <sz val="8"/>
        <rFont val="Arial"/>
        <family val="2"/>
      </rPr>
      <t xml:space="preserve">
- Include a legal / notice re interval meter read data submission impact and liability. ..</t>
    </r>
    <r>
      <rPr>
        <b/>
        <sz val="8"/>
        <rFont val="Arial"/>
        <family val="2"/>
      </rPr>
      <t>.XYZ disclaimer...</t>
    </r>
    <r>
      <rPr>
        <sz val="8"/>
        <rFont val="Arial"/>
        <family val="2"/>
      </rPr>
      <t xml:space="preserve">
- Ability to verify interval data received.
o Ability for Eskom staff to reject buyer submitted data and provide reasons for rejection.
Note:
- Group IT to advise re limitations on volumes of data and format.</t>
    </r>
  </si>
  <si>
    <t>?? Split??</t>
  </si>
  <si>
    <r>
      <rPr>
        <sz val="8"/>
        <color theme="4"/>
        <rFont val="Arial"/>
        <family val="2"/>
      </rPr>
      <t xml:space="preserve">Eskom requires the </t>
    </r>
    <r>
      <rPr>
        <b/>
        <sz val="8"/>
        <color theme="4"/>
        <rFont val="Arial"/>
        <family val="2"/>
      </rPr>
      <t>"buyer / business wheeling portal" to allow buyer submission of energy wheeling allocation parameters:</t>
    </r>
    <r>
      <rPr>
        <sz val="8"/>
        <color theme="4"/>
        <rFont val="Arial"/>
        <family val="2"/>
      </rPr>
      <t xml:space="preserve">
- Ability for buyers to configure the percentage / amount of wheeled energy allocation per generator and customer premises.
</t>
    </r>
    <r>
      <rPr>
        <sz val="8"/>
        <rFont val="Arial"/>
        <family val="2"/>
      </rPr>
      <t xml:space="preserve">- Include notification for buyer to confirm changes to the energy wheeling configuration, which is essentially a change to the customer contract with Eskom.
- Ability for Eskom staff to approve changes to the wheeling configuration. </t>
    </r>
  </si>
  <si>
    <t>As per business rules..</t>
  </si>
  <si>
    <r>
      <t>Eskom requires the</t>
    </r>
    <r>
      <rPr>
        <b/>
        <sz val="8"/>
        <rFont val="Arial"/>
        <family val="2"/>
      </rPr>
      <t xml:space="preserve"> "buyer / business wheeling portal"</t>
    </r>
    <r>
      <rPr>
        <sz val="8"/>
        <rFont val="Arial"/>
        <family val="2"/>
      </rPr>
      <t xml:space="preserve"> </t>
    </r>
    <r>
      <rPr>
        <b/>
        <sz val="8"/>
        <rFont val="Arial"/>
        <family val="2"/>
      </rPr>
      <t>to</t>
    </r>
    <r>
      <rPr>
        <sz val="8"/>
        <rFont val="Arial"/>
        <family val="2"/>
      </rPr>
      <t xml:space="preserve"> </t>
    </r>
    <r>
      <rPr>
        <b/>
        <sz val="8"/>
        <rFont val="Arial"/>
        <family val="2"/>
      </rPr>
      <t>enforce buyer information submission “hard cut-off dates”:</t>
    </r>
    <r>
      <rPr>
        <sz val="8"/>
        <rFont val="Arial"/>
        <family val="2"/>
      </rPr>
      <t xml:space="preserve">
- Ability to enforce hard cut-off dates by which:
o Buyers are expected to change energy wheeling allocation parameters.
o Customers behind municipal boundaries are expected to upload relevant interval meter read data.  
Note:
- Hard cut-off date → date when reconciliation of accounts will be started. </t>
    </r>
  </si>
  <si>
    <r>
      <t>Eskom requires the</t>
    </r>
    <r>
      <rPr>
        <b/>
        <sz val="8"/>
        <rFont val="Arial"/>
        <family val="2"/>
      </rPr>
      <t xml:space="preserve"> "buyer / business wheeling portal" to be able to</t>
    </r>
    <r>
      <rPr>
        <sz val="8"/>
        <rFont val="Arial"/>
        <family val="2"/>
      </rPr>
      <t xml:space="preserve"> </t>
    </r>
    <r>
      <rPr>
        <b/>
        <sz val="8"/>
        <rFont val="Arial"/>
        <family val="2"/>
      </rPr>
      <t>enable buyer customer-interaction:</t>
    </r>
    <r>
      <rPr>
        <sz val="8"/>
        <rFont val="Arial"/>
        <family val="2"/>
      </rPr>
      <t xml:space="preserve">
- Provide links to established channels, e.g., call centres etc. for customer-interaction. </t>
    </r>
  </si>
  <si>
    <t>JB - don't include - part of detailed scope. How to contact us… clientoffice@eskom.co.za</t>
  </si>
  <si>
    <r>
      <t>Eskom requires the</t>
    </r>
    <r>
      <rPr>
        <b/>
        <sz val="8"/>
        <rFont val="Arial"/>
        <family val="2"/>
      </rPr>
      <t xml:space="preserve"> "buyer / business wheeling portal"</t>
    </r>
    <r>
      <rPr>
        <sz val="8"/>
        <rFont val="Arial"/>
        <family val="2"/>
      </rPr>
      <t xml:space="preserve"> </t>
    </r>
    <r>
      <rPr>
        <b/>
        <sz val="8"/>
        <rFont val="Arial"/>
        <family val="2"/>
      </rPr>
      <t>to be</t>
    </r>
    <r>
      <rPr>
        <sz val="8"/>
        <rFont val="Arial"/>
        <family val="2"/>
      </rPr>
      <t xml:space="preserve"> </t>
    </r>
    <r>
      <rPr>
        <b/>
        <sz val="8"/>
        <rFont val="Arial"/>
        <family val="2"/>
      </rPr>
      <t>able to export data</t>
    </r>
    <r>
      <rPr>
        <sz val="8"/>
        <rFont val="Arial"/>
        <family val="2"/>
      </rPr>
      <t xml:space="preserve">:
- Ability for buyers to do a limited export of data e.g., interval meter reads, basic customer information and energy wheeling configuration.
- Ability to export data for multiple accounts or groups of accounts.
- Limitations on data export:
</t>
    </r>
    <r>
      <rPr>
        <strike/>
        <sz val="8"/>
        <rFont val="Arial"/>
        <family val="2"/>
      </rPr>
      <t xml:space="preserve">o Volume: Group IT to advise re workable limits </t>
    </r>
    <r>
      <rPr>
        <b/>
        <strike/>
        <sz val="8"/>
        <rFont val="Arial"/>
        <family val="2"/>
      </rPr>
      <t>(XYZ)</t>
    </r>
    <r>
      <rPr>
        <sz val="8"/>
        <rFont val="Arial"/>
        <family val="2"/>
      </rPr>
      <t xml:space="preserve">
Note:
- Buyers should only have access to their own data.</t>
    </r>
  </si>
  <si>
    <t>MV90 + HES…</t>
  </si>
  <si>
    <r>
      <rPr>
        <sz val="8"/>
        <color rgb="FF0070C0"/>
        <rFont val="Arial"/>
        <family val="2"/>
      </rPr>
      <t xml:space="preserve">Eskom requires the </t>
    </r>
    <r>
      <rPr>
        <b/>
        <sz val="8"/>
        <color rgb="FF0070C0"/>
        <rFont val="Arial"/>
        <family val="2"/>
      </rPr>
      <t>"buyer / business wheeling portal" to be able to</t>
    </r>
    <r>
      <rPr>
        <sz val="8"/>
        <color rgb="FF0070C0"/>
        <rFont val="Arial"/>
        <family val="2"/>
      </rPr>
      <t xml:space="preserve"> </t>
    </r>
    <r>
      <rPr>
        <b/>
        <sz val="8"/>
        <color rgb="FF0070C0"/>
        <rFont val="Arial"/>
        <family val="2"/>
      </rPr>
      <t>provide buyer / business user alerts:</t>
    </r>
    <r>
      <rPr>
        <sz val="8"/>
        <rFont val="Arial"/>
        <family val="2"/>
      </rPr>
      <t xml:space="preserve">
- Ability to provide user alerts re timing of customer data or configuration submissions e.g., send notifications to buyer / business users 5, 3 and 1 day prior to data submission deadlines etc.
o Example: “Acct_id: Customer wheeling parameter submission for due on 5 Dec 2022.”
- Ability to display relevant alerts from the billing system.
o Examples: low / no sales, outstanding debt 
- Automate user alerts using the following channels: 
o </t>
    </r>
    <r>
      <rPr>
        <b/>
        <strike/>
        <sz val="8"/>
        <rFont val="Arial"/>
        <family val="2"/>
      </rPr>
      <t>SMS</t>
    </r>
    <r>
      <rPr>
        <sz val="8"/>
        <rFont val="Arial"/>
        <family val="2"/>
      </rPr>
      <t xml:space="preserve">, email
- Alerts to appear on the landing page (after login).
- Alerts to appear on landing page or sent to user only for the relevant accounts a user has access to. 
- Allow users to subscribe to relevant alerts per account.
- For users subscribed to alerts on multiple accounts, emailed alert information to be sent in Excel format e.g., a table of alerts for all subscribed accounts. </t>
    </r>
  </si>
  <si>
    <t>Reduce examples</t>
  </si>
  <si>
    <t>Changes to the billing system</t>
  </si>
  <si>
    <r>
      <t xml:space="preserve">Eskom requires </t>
    </r>
    <r>
      <rPr>
        <b/>
        <sz val="8"/>
        <rFont val="Arial"/>
        <family val="2"/>
      </rPr>
      <t>the billing system to be able to receive and process energy wheeling configurations received from the buyer / business wheeling portal</t>
    </r>
    <r>
      <rPr>
        <sz val="8"/>
        <rFont val="Arial"/>
        <family val="2"/>
      </rPr>
      <t>:
- Association / link between generators and off takers e.g., via accounts, service agreements, premises or meters
- Association / link between consolidated accounts for buyers (corporate entities or traders) and their load accounts
- Wheeling allocation option - percentage / amount of wheeled energy allocation per generator / off taker
- Financial refund / credit option
In the billing system appropriate wheeling related service agreements need to be created or maintained. Automate the creation of these where applicable.
- Generator
- Use Of System (UOS) service agreement
o Percent / value wheeled energy allocation per customer premise
- Customer / off taker
- Utility service agreement
- Offset service agreement (with / without Banking)</t>
    </r>
  </si>
  <si>
    <t>JB - F22 to F29 don't include?? Billing system changes  - how will this be catered for?
All of these to be done by Eskom GIT CC&amp;B team…</t>
  </si>
  <si>
    <t>F_VW23</t>
  </si>
  <si>
    <r>
      <t xml:space="preserve">Eskom requires the </t>
    </r>
    <r>
      <rPr>
        <b/>
        <sz val="8"/>
        <rFont val="Arial"/>
        <family val="2"/>
      </rPr>
      <t>billing system to be able to create / maintain consolidated accounts:</t>
    </r>
    <r>
      <rPr>
        <sz val="8"/>
        <rFont val="Arial"/>
        <family val="2"/>
      </rPr>
      <t xml:space="preserve">
- Ability to create a consolidated account for wheeled energy refunds / credits where applicable.
Note:
- Wheeled energy refunded / credited in a consolidated account should not affect SAP finances. </t>
    </r>
  </si>
  <si>
    <t>F_VW24</t>
  </si>
  <si>
    <r>
      <t xml:space="preserve">Eskom requires the </t>
    </r>
    <r>
      <rPr>
        <b/>
        <sz val="8"/>
        <rFont val="Arial"/>
        <family val="2"/>
      </rPr>
      <t>billing system to be able to refund / credit wheeled energy</t>
    </r>
    <r>
      <rPr>
        <sz val="8"/>
        <rFont val="Arial"/>
        <family val="2"/>
      </rPr>
      <t xml:space="preserve">:
- Ability to refund / credit wheeled energy for configured customer premises or consolidated accounts where applicable. </t>
    </r>
  </si>
  <si>
    <t>F_VW25</t>
  </si>
  <si>
    <r>
      <t xml:space="preserve">Eskom requires the </t>
    </r>
    <r>
      <rPr>
        <b/>
        <sz val="8"/>
        <rFont val="Arial"/>
        <family val="2"/>
      </rPr>
      <t>billing system to be able to display refunded / credited wheeled energy on bills</t>
    </r>
    <r>
      <rPr>
        <sz val="8"/>
        <rFont val="Arial"/>
        <family val="2"/>
      </rPr>
      <t>:
- Ability to display / reflect refunded / credited wheeled energy and its source (generator) on individual customer bills.
o Display as line items (calculation lines) on bills.</t>
    </r>
  </si>
  <si>
    <t>F_VW26</t>
  </si>
  <si>
    <r>
      <t xml:space="preserve">Eskom requires the </t>
    </r>
    <r>
      <rPr>
        <b/>
        <sz val="8"/>
        <rFont val="Arial"/>
        <family val="2"/>
      </rPr>
      <t>billing system to be able to</t>
    </r>
    <r>
      <rPr>
        <sz val="8"/>
        <rFont val="Arial"/>
        <family val="2"/>
      </rPr>
      <t xml:space="preserve"> </t>
    </r>
    <r>
      <rPr>
        <b/>
        <sz val="8"/>
        <rFont val="Arial"/>
        <family val="2"/>
      </rPr>
      <t>generate a “credit note”</t>
    </r>
    <r>
      <rPr>
        <sz val="8"/>
        <rFont val="Arial"/>
        <family val="2"/>
      </rPr>
      <t>:
- Ability to generate a credit note for wheeled energy refunds / credits for consolidated accounts.</t>
    </r>
  </si>
  <si>
    <t>F_VW27</t>
  </si>
  <si>
    <r>
      <t xml:space="preserve">Eskom requires the </t>
    </r>
    <r>
      <rPr>
        <b/>
        <sz val="8"/>
        <rFont val="Arial"/>
        <family val="2"/>
      </rPr>
      <t>billing system to be able to</t>
    </r>
    <r>
      <rPr>
        <sz val="8"/>
        <rFont val="Arial"/>
        <family val="2"/>
      </rPr>
      <t xml:space="preserve"> </t>
    </r>
    <r>
      <rPr>
        <b/>
        <sz val="8"/>
        <rFont val="Arial"/>
        <family val="2"/>
      </rPr>
      <t>transfer wheeled energy refunds / credits to SAP:</t>
    </r>
    <r>
      <rPr>
        <sz val="8"/>
        <rFont val="Arial"/>
        <family val="2"/>
      </rPr>
      <t xml:space="preserve">
- Ability to transfer wheeled energy refunds / credits on wheeling consolidated accounts to SAP.
Note:
- The future Standard Offer Platform and Dx CET to also be considered re processing of refunds.
</t>
    </r>
    <r>
      <rPr>
        <b/>
        <sz val="8"/>
        <rFont val="Arial"/>
        <family val="2"/>
      </rPr>
      <t>XYZ AJ to confirm refund to be done via SAP??</t>
    </r>
  </si>
  <si>
    <t>F_VW28</t>
  </si>
  <si>
    <r>
      <t xml:space="preserve">Eskom requires the </t>
    </r>
    <r>
      <rPr>
        <b/>
        <sz val="8"/>
        <rFont val="Arial"/>
        <family val="2"/>
      </rPr>
      <t xml:space="preserve">billing system to be able to provide access control for energy wheeling related accounts or service agreements:
</t>
    </r>
    <r>
      <rPr>
        <sz val="8"/>
        <rFont val="Arial"/>
        <family val="2"/>
      </rPr>
      <t>- Ability to create energy wheeling user profiles:
o View energy wheeling configuration 
o View energy wheeling views or reports
o Creation or modification of energy wheeling related service agreements.
o Etc.
- Ability to apply energy wheeling user profiles to specific users.
- Ability to grant user access to a selection of customer accounts by ring-fencing individual based on:
o A selection of accounts e.g., for a customer executive
o Accounts in a certain business area e.g., per OU
o Etc.</t>
    </r>
  </si>
  <si>
    <t>F_VW29</t>
  </si>
  <si>
    <r>
      <t xml:space="preserve">Eskom requires the </t>
    </r>
    <r>
      <rPr>
        <b/>
        <sz val="8"/>
        <rFont val="Arial"/>
        <family val="2"/>
      </rPr>
      <t xml:space="preserve">billing system to be able to provide user energy wheeling related alerts:
</t>
    </r>
    <r>
      <rPr>
        <sz val="8"/>
        <rFont val="Arial"/>
        <family val="2"/>
      </rPr>
      <t>- Alerts to for the following business rules:
o Examples: low / no sales, outstanding debt 
- Alerts to appear along with other alerts in the billing system.</t>
    </r>
  </si>
  <si>
    <t>F_VW30</t>
  </si>
  <si>
    <t>SAP</t>
  </si>
  <si>
    <r>
      <t xml:space="preserve">Eskom requires </t>
    </r>
    <r>
      <rPr>
        <b/>
        <sz val="8"/>
        <rFont val="Arial"/>
        <family val="2"/>
      </rPr>
      <t>SAP to be able to receive and process energy refund / credit to buyer:</t>
    </r>
    <r>
      <rPr>
        <sz val="8"/>
        <rFont val="Arial"/>
        <family val="2"/>
      </rPr>
      <t xml:space="preserve">
- Ability to process energy refund / credit to the buyer (customer, trader or corporate entity).</t>
    </r>
  </si>
  <si>
    <t>JB - SAP?</t>
  </si>
  <si>
    <t>F_VW31</t>
  </si>
  <si>
    <r>
      <t xml:space="preserve">Eskom requires the following </t>
    </r>
    <r>
      <rPr>
        <b/>
        <sz val="8"/>
        <rFont val="Arial"/>
        <family val="2"/>
      </rPr>
      <t>reports or views in the billing system:</t>
    </r>
    <r>
      <rPr>
        <sz val="8"/>
        <rFont val="Arial"/>
        <family val="2"/>
      </rPr>
      <t xml:space="preserve">
- Management views
o Energy wheeling configuration – detail
o Alerts for customers involved in energy wheeling e.g., outstanding debt, no sales etc. </t>
    </r>
  </si>
  <si>
    <t>JB - F31 to F34 - Reporting / Analytics
Per virtual / trans acct:
- Sum energy for offtaker and gen
- Sum of Eskom qualifying energy
- Sum of credits / refunds for virtual wheeling
- Sum of all wheeled energy</t>
  </si>
  <si>
    <t>F_VW32</t>
  </si>
  <si>
    <r>
      <rPr>
        <sz val="8"/>
        <color rgb="FF0070C0"/>
        <rFont val="Arial"/>
        <family val="2"/>
      </rPr>
      <t xml:space="preserve">Eskom requires an anlaltyics capbability i.e., </t>
    </r>
    <r>
      <rPr>
        <b/>
        <sz val="8"/>
        <color rgb="FF0070C0"/>
        <rFont val="Arial"/>
        <family val="2"/>
      </rPr>
      <t>dashboards, reports or views in the "buyer / business wheeling portal"  ++ analytics</t>
    </r>
    <r>
      <rPr>
        <b/>
        <sz val="8"/>
        <rFont val="Arial"/>
        <family val="2"/>
      </rPr>
      <t xml:space="preserve">
</t>
    </r>
    <r>
      <rPr>
        <sz val="8"/>
        <rFont val="Arial"/>
        <family val="2"/>
      </rPr>
      <t xml:space="preserve">1. For buyers: starting point or filter → </t>
    </r>
    <r>
      <rPr>
        <strike/>
        <sz val="8"/>
        <rFont val="Arial"/>
        <family val="2"/>
      </rPr>
      <t>customer</t>
    </r>
    <r>
      <rPr>
        <sz val="8"/>
        <rFont val="Arial"/>
        <family val="2"/>
      </rPr>
      <t xml:space="preserve">, premise, account, </t>
    </r>
    <r>
      <rPr>
        <b/>
        <sz val="8"/>
        <rFont val="Arial"/>
        <family val="2"/>
      </rPr>
      <t>meter, login (registration id),</t>
    </r>
    <r>
      <rPr>
        <sz val="8"/>
        <rFont val="Arial"/>
        <family val="2"/>
      </rPr>
      <t xml:space="preserve"> generator or group of customers (for traders or corporate entities)
o Monthly trend view 
  - Generators and wheeled energy allocation 
  - Key measures:
• Number of accounts, service agreements, premises and generators
• Energy offset, energy banked, energy wheeled (qualifying claimed, non-qualifying claimed), energy bought by Eskom, total energy.
o Include rand values of the above
o Detail view (per month) - </t>
    </r>
    <r>
      <rPr>
        <b/>
        <sz val="8"/>
        <rFont val="Arial"/>
        <family val="2"/>
      </rPr>
      <t>++ YTD vals</t>
    </r>
    <r>
      <rPr>
        <sz val="8"/>
        <rFont val="Arial"/>
        <family val="2"/>
      </rPr>
      <t xml:space="preserve">
  - Generator and wheeled energy allocation per customer premise
  - Basic customer information
  - Energy wheeling configuration per customer premise
  - Key measures:
• Energy offset, energy wheeled (qualifying claimed, non-qualifying claimed), energy bought by Eskom, total energy.
o Include rand values of the above
o Raw data view
  - Basic customer information
  - Interval meter reads
o Energy wheeling configuration - detail
  - Energy wheeling configuration per customer premise
2. For Eskom users: 
o As per above for customers starting point or filter → customer, premise, </t>
    </r>
    <r>
      <rPr>
        <b/>
        <sz val="8"/>
        <rFont val="Arial"/>
        <family val="2"/>
      </rPr>
      <t>++meter,</t>
    </r>
    <r>
      <rPr>
        <sz val="8"/>
        <rFont val="Arial"/>
        <family val="2"/>
      </rPr>
      <t xml:space="preserve"> account, generator or business area:
  - Monthly trend view
  - Detail view (per month)
  - Raw data view
  - Energy wheeling configuration - detail
o Management views
  - Changes to configurations / allocations
  - Late submissions of data or changes to configurations / allocations
  - Alerts e.g., outstanding debt, no sales etc</t>
    </r>
  </si>
  <si>
    <t xml:space="preserve">JB - how much detail required here → only focus on high-level analytics cabability → then demo specific items?
Show analytics tools ++ </t>
  </si>
  <si>
    <t>F_VW33</t>
  </si>
  <si>
    <r>
      <t xml:space="preserve">Eskom requires the following </t>
    </r>
    <r>
      <rPr>
        <b/>
        <sz val="8"/>
        <rFont val="Arial"/>
        <family val="2"/>
      </rPr>
      <t>reports or views in SAP:</t>
    </r>
    <r>
      <rPr>
        <sz val="8"/>
        <rFont val="Arial"/>
        <family val="2"/>
      </rPr>
      <t xml:space="preserve">
- Management views
o Customer refunds / credits received and processed.
</t>
    </r>
    <r>
      <rPr>
        <strike/>
        <sz val="8"/>
        <rFont val="Arial"/>
        <family val="2"/>
      </rPr>
      <t>Note:
-The future Standard Offer Platform and Dx CET to also be considered re processing of refunds and therefore reporting.</t>
    </r>
  </si>
  <si>
    <t>Already exists</t>
  </si>
  <si>
    <t>F_VW34</t>
  </si>
  <si>
    <r>
      <rPr>
        <b/>
        <sz val="8"/>
        <rFont val="Arial"/>
        <family val="2"/>
      </rPr>
      <t>Eskom requires reports or views re information synch between systems:</t>
    </r>
    <r>
      <rPr>
        <sz val="8"/>
        <rFont val="Arial"/>
        <family val="2"/>
      </rPr>
      <t xml:space="preserve">
- Status of data synch between systems
o Billing system and consolidated wheeling data environment
 Energy wheeling configuration 
 Basic customer info
 Etc.
o MV90 / head-end system / MDMS and the consolidated wheeling data environment 
 Interval meter read data.
o Consolidated wheeling data environment and SAP
 Energy wheeling refunds / credits</t>
    </r>
  </si>
  <si>
    <t>JB - Data synch?? Needed here? Integration…</t>
  </si>
  <si>
    <t>F_VW35</t>
  </si>
  <si>
    <t>Eskom requries compliance to standards:
- NRS 049 part 5-2: Automatic exchange of formal metering information between systems</t>
  </si>
  <si>
    <t>Our configured format…</t>
  </si>
  <si>
    <t>Qualifying accts based on business rules</t>
  </si>
  <si>
    <t>Validation of data ??</t>
  </si>
  <si>
    <t>Exception reports??</t>
  </si>
  <si>
    <t>Functional Commercial Energy Trader</t>
  </si>
  <si>
    <r>
      <t xml:space="preserve">Vendor Response: </t>
    </r>
    <r>
      <rPr>
        <sz val="8"/>
        <color theme="1"/>
        <rFont val="Arial"/>
        <family val="2"/>
      </rPr>
      <t xml:space="preserve">Select from drop down list 
</t>
    </r>
    <r>
      <rPr>
        <b/>
        <sz val="8"/>
        <color theme="1"/>
        <rFont val="Arial"/>
        <family val="2"/>
      </rPr>
      <t>1. Std, 2. Dev or 3. No</t>
    </r>
  </si>
  <si>
    <t>Scoring guideline
(requ #)</t>
  </si>
  <si>
    <t>Selection Options
1. Std / config 
2. Cust / dev1
3. Dev2 / No</t>
  </si>
  <si>
    <t>F_CET1</t>
  </si>
  <si>
    <t>User Access Management</t>
  </si>
  <si>
    <r>
      <t xml:space="preserve">Eskom requires an Energy Trading solution that is able to:
Manage user access considering both Eskom internal users and external market participant users.
</t>
    </r>
    <r>
      <rPr>
        <b/>
        <sz val="8"/>
        <color rgb="FF7030A0"/>
        <rFont val="Arial"/>
        <family val="2"/>
      </rPr>
      <t>BF1:</t>
    </r>
    <r>
      <rPr>
        <sz val="8"/>
        <color rgb="FF7030A0"/>
        <rFont val="Arial"/>
        <family val="2"/>
      </rPr>
      <t xml:space="preserve"> Eskom user apply on e-forms to gain access on Dx CET system and after approval the system
administrator will receive the approved request via e-forms workflow.
</t>
    </r>
    <r>
      <rPr>
        <sz val="8"/>
        <rFont val="Arial"/>
        <family val="2"/>
      </rPr>
      <t xml:space="preserve">System response: Administrator receive approved e-form request.
</t>
    </r>
    <r>
      <rPr>
        <b/>
        <sz val="8"/>
        <rFont val="Arial"/>
        <family val="2"/>
      </rPr>
      <t>BF2:</t>
    </r>
    <r>
      <rPr>
        <sz val="8"/>
        <rFont val="Arial"/>
        <family val="2"/>
      </rPr>
      <t xml:space="preserve"> System administrator will create user access
System response: Notify affected user.
</t>
    </r>
    <r>
      <rPr>
        <b/>
        <sz val="8"/>
        <rFont val="Arial"/>
        <family val="2"/>
      </rPr>
      <t>BF3:</t>
    </r>
    <r>
      <rPr>
        <sz val="8"/>
        <rFont val="Arial"/>
        <family val="2"/>
      </rPr>
      <t xml:space="preserve"> Market participant register in Dx CET Web portal to gain access as a service/ product provider.
System response: Notify market participant about successful registration confirming username and
password.
</t>
    </r>
    <r>
      <rPr>
        <b/>
        <sz val="8"/>
        <rFont val="Arial"/>
        <family val="2"/>
      </rPr>
      <t>BF4:</t>
    </r>
    <r>
      <rPr>
        <sz val="8"/>
        <rFont val="Arial"/>
        <family val="2"/>
      </rPr>
      <t xml:space="preserve"> System administrator will manage the user access according to contractual durations and level of
access profiles
System response: When user profile/ status change or when market participant contract expires revoke user
access (RR1.1)
</t>
    </r>
    <r>
      <rPr>
        <b/>
        <sz val="8"/>
        <rFont val="Arial"/>
        <family val="2"/>
      </rPr>
      <t>RR1.1: (BF4</t>
    </r>
    <r>
      <rPr>
        <sz val="8"/>
        <rFont val="Arial"/>
        <family val="2"/>
      </rPr>
      <t>) Whenever a user business profile of employment status change or market participant contract expire revoke system access or notify administrator to revoke/ reinstate access?</t>
    </r>
  </si>
  <si>
    <r>
      <t xml:space="preserve">In your technical response select one of  the options below to describe how the required functionality could be delivered, and indicate via screenshots and / or indicate the relevant modules required to provide the functionality:
1. Standard functionality 
    or deliver by configuration 
    </t>
    </r>
    <r>
      <rPr>
        <b/>
        <sz val="8"/>
        <rFont val="Arial"/>
        <family val="2"/>
      </rPr>
      <t xml:space="preserve">[Std / config] </t>
    </r>
    <r>
      <rPr>
        <sz val="8"/>
        <rFont val="Arial"/>
        <family val="2"/>
      </rPr>
      <t xml:space="preserve">
2. Deliver by built in customization tools 
    or deliver by development (changes are preserved in future upgrades
    </t>
    </r>
    <r>
      <rPr>
        <b/>
        <sz val="8"/>
        <rFont val="Arial"/>
        <family val="2"/>
      </rPr>
      <t>[Cust / dev1]</t>
    </r>
    <r>
      <rPr>
        <sz val="8"/>
        <rFont val="Arial"/>
        <family val="2"/>
      </rPr>
      <t xml:space="preserve">
3. Deliver by development (BUT changes NOT preserved in future upgrades) 
    or not possible 
    </t>
    </r>
    <r>
      <rPr>
        <b/>
        <sz val="8"/>
        <rFont val="Arial"/>
        <family val="2"/>
      </rPr>
      <t>[Dev2 / No]</t>
    </r>
    <r>
      <rPr>
        <sz val="8"/>
        <rFont val="Arial"/>
        <family val="2"/>
      </rPr>
      <t xml:space="preserve">
</t>
    </r>
    <r>
      <rPr>
        <b/>
        <sz val="8"/>
        <rFont val="Arial"/>
        <family val="2"/>
      </rPr>
      <t>Note: Select an option and provide evidence for each item from BF1 to BF5.</t>
    </r>
    <r>
      <rPr>
        <sz val="8"/>
        <rFont val="Arial"/>
        <family val="2"/>
      </rPr>
      <t xml:space="preserve">
</t>
    </r>
  </si>
  <si>
    <r>
      <t>&lt;</t>
    </r>
    <r>
      <rPr>
        <b/>
        <i/>
        <sz val="8"/>
        <color rgb="FFFF0000"/>
        <rFont val="Arial"/>
        <family val="2"/>
      </rPr>
      <t>Example re how to complete this whole column:</t>
    </r>
    <r>
      <rPr>
        <i/>
        <sz val="8"/>
        <color rgb="FFFF0000"/>
        <rFont val="Arial"/>
        <family val="2"/>
      </rPr>
      <t xml:space="preserve"> Technical File, section 5 (company background section), page 11&gt;</t>
    </r>
  </si>
  <si>
    <t>BF1</t>
  </si>
  <si>
    <t>BF2</t>
  </si>
  <si>
    <t>BF3</t>
  </si>
  <si>
    <t>BF4</t>
  </si>
  <si>
    <t>F_CET2</t>
  </si>
  <si>
    <t>Manage market participant applications</t>
  </si>
  <si>
    <r>
      <t xml:space="preserve">Eskom requires an Energy Trading solution that is able to:
Manage the market participant service / product offering applications per category by assessing and approving / rejecting the application. 
</t>
    </r>
    <r>
      <rPr>
        <b/>
        <sz val="8"/>
        <rFont val="Arial"/>
        <family val="2"/>
      </rPr>
      <t xml:space="preserve">
BF1:</t>
    </r>
    <r>
      <rPr>
        <sz val="8"/>
        <rFont val="Arial"/>
        <family val="2"/>
      </rPr>
      <t xml:space="preserve"> Updating schedule for various approved products and services
System response: Save updated schedule for products and services
</t>
    </r>
    <r>
      <rPr>
        <b/>
        <sz val="8"/>
        <rFont val="Arial"/>
        <family val="2"/>
      </rPr>
      <t>BF2:</t>
    </r>
    <r>
      <rPr>
        <sz val="8"/>
        <rFont val="Arial"/>
        <family val="2"/>
      </rPr>
      <t xml:space="preserve"> Market participant submit application to provide products or services (Selection and price offered –
intelligent product service selection)
System response: Save application with unique ID number. (Version controlled)
</t>
    </r>
    <r>
      <rPr>
        <b/>
        <sz val="8"/>
        <rFont val="Arial"/>
        <family val="2"/>
      </rPr>
      <t>BF3:</t>
    </r>
    <r>
      <rPr>
        <sz val="8"/>
        <rFont val="Arial"/>
        <family val="2"/>
      </rPr>
      <t xml:space="preserve"> Evaluate application and save approval/ rejection with reasons of rejection. (EF1)
System response: Save approval/ rejection and notify market participant. (AF2)
Eskom requires:
</t>
    </r>
    <r>
      <rPr>
        <b/>
        <sz val="8"/>
        <rFont val="Arial"/>
        <family val="2"/>
      </rPr>
      <t>BF4:</t>
    </r>
    <r>
      <rPr>
        <sz val="8"/>
        <rFont val="Arial"/>
        <family val="2"/>
      </rPr>
      <t xml:space="preserve"> Updated commission and testing status for applied product and services.
System response: Save status and send for sign off (AF1)
</t>
    </r>
    <r>
      <rPr>
        <b/>
        <sz val="8"/>
        <rFont val="Arial"/>
        <family val="2"/>
      </rPr>
      <t>BF5:</t>
    </r>
    <r>
      <rPr>
        <sz val="8"/>
        <rFont val="Arial"/>
        <family val="2"/>
      </rPr>
      <t xml:space="preserve"> Sign of contractual agreement electronically and keep records on CET system (audit trail-workflow)
(AF1)
System response: Save, send, and keep workflow audit trail for record purposes. (Minimum five-year data
storage with twelve-month archive options).
</t>
    </r>
    <r>
      <rPr>
        <b/>
        <sz val="8"/>
        <rFont val="Arial"/>
        <family val="2"/>
      </rPr>
      <t>BF6:</t>
    </r>
    <r>
      <rPr>
        <sz val="8"/>
        <rFont val="Arial"/>
        <family val="2"/>
      </rPr>
      <t xml:space="preserve"> Review contractual agreements (Compliance based/ Repetitive breaching of contract agreement)
System response: Notify relevant stakeholders when compliance breached (set margins)
</t>
    </r>
    <r>
      <rPr>
        <b/>
        <sz val="8"/>
        <rFont val="Arial"/>
        <family val="2"/>
      </rPr>
      <t>BF7:</t>
    </r>
    <r>
      <rPr>
        <sz val="8"/>
        <rFont val="Arial"/>
        <family val="2"/>
      </rPr>
      <t xml:space="preserve"> Update access profiles to enable market participants to access bidding functions.
System response: Notify affected users about profile updates
</t>
    </r>
    <r>
      <rPr>
        <b/>
        <sz val="8"/>
        <rFont val="Arial"/>
        <family val="2"/>
      </rPr>
      <t>AF1</t>
    </r>
    <r>
      <rPr>
        <sz val="8"/>
        <rFont val="Arial"/>
        <family val="2"/>
      </rPr>
      <t xml:space="preserve">: (BF5) When sign off is not achieved within five workdays due to a dispute escalate one level up notifying relevant manager.
</t>
    </r>
    <r>
      <rPr>
        <b/>
        <sz val="8"/>
        <rFont val="Arial"/>
        <family val="2"/>
      </rPr>
      <t xml:space="preserve">AF2: </t>
    </r>
    <r>
      <rPr>
        <sz val="8"/>
        <rFont val="Arial"/>
        <family val="2"/>
      </rPr>
      <t xml:space="preserve">(BF3) After approval of request kick of formal vendor application through commercial process as well. Register service/ product provider on Central Service provider data base for VAT purposes. Determine vendor classification type for flexible services provision.
</t>
    </r>
    <r>
      <rPr>
        <b/>
        <sz val="8"/>
        <rFont val="Arial"/>
        <family val="2"/>
      </rPr>
      <t>EF1:</t>
    </r>
    <r>
      <rPr>
        <sz val="8"/>
        <rFont val="Arial"/>
        <family val="2"/>
      </rPr>
      <t xml:space="preserve"> (BF3) When application is rejected notify market participant about rejection and reasons and allow opportunity to edit application and resubmit. (BF2) (RR2.1)
</t>
    </r>
    <r>
      <rPr>
        <b/>
        <sz val="8"/>
        <rFont val="Arial"/>
        <family val="2"/>
      </rPr>
      <t xml:space="preserve">RR2.1: (EF1) </t>
    </r>
    <r>
      <rPr>
        <sz val="8"/>
        <rFont val="Arial"/>
        <family val="2"/>
      </rPr>
      <t>Allow market participant to edit application within twenty workdays before automatic system cancellation of the original application. Notify Market participant and Grid access management when application is cancelled.</t>
    </r>
  </si>
  <si>
    <r>
      <t xml:space="preserve">In your technical response select one of  the options below to describe how the required functionality could be delivered, and indicate via screenshots and / or indicate the relevant modules required to provide the functionality:
1. Standard functionality 
    or deliver by configuration 
   </t>
    </r>
    <r>
      <rPr>
        <b/>
        <sz val="8"/>
        <rFont val="Arial"/>
        <family val="2"/>
      </rPr>
      <t xml:space="preserve"> [Std / config] </t>
    </r>
    <r>
      <rPr>
        <sz val="8"/>
        <rFont val="Arial"/>
        <family val="2"/>
      </rPr>
      <t xml:space="preserve">
2. Deliver by built in customization tools 
    or deliver by development (changes are preserved in future upgrades
    </t>
    </r>
    <r>
      <rPr>
        <b/>
        <sz val="8"/>
        <rFont val="Arial"/>
        <family val="2"/>
      </rPr>
      <t>[Cust / dev1]</t>
    </r>
    <r>
      <rPr>
        <sz val="8"/>
        <rFont val="Arial"/>
        <family val="2"/>
      </rPr>
      <t xml:space="preserve">
3. Deliver by development (BUT changes NOT preserved in future upgrades) 
    or not possible 
    </t>
    </r>
    <r>
      <rPr>
        <b/>
        <sz val="8"/>
        <rFont val="Arial"/>
        <family val="2"/>
      </rPr>
      <t>[Dev2 / No]</t>
    </r>
    <r>
      <rPr>
        <sz val="8"/>
        <rFont val="Arial"/>
        <family val="2"/>
      </rPr>
      <t xml:space="preserve">
</t>
    </r>
    <r>
      <rPr>
        <b/>
        <sz val="8"/>
        <rFont val="Arial"/>
        <family val="2"/>
      </rPr>
      <t>Note: Select an option and provide evidence for each item from BF1 to EF1.</t>
    </r>
    <r>
      <rPr>
        <sz val="8"/>
        <rFont val="Arial"/>
        <family val="2"/>
      </rPr>
      <t xml:space="preserve">
</t>
    </r>
  </si>
  <si>
    <t>BF5</t>
  </si>
  <si>
    <t>BF6</t>
  </si>
  <si>
    <t>BF7</t>
  </si>
  <si>
    <t>AF1</t>
  </si>
  <si>
    <t>AF2</t>
  </si>
  <si>
    <t>EF1</t>
  </si>
  <si>
    <t>F_CET3</t>
  </si>
  <si>
    <t>Demand Forecasting and Planning</t>
  </si>
  <si>
    <t>Eskom requires an Energy Trading solution that is able to:
Perform energy forecasting and demand planning for Dx CET. Considering various variables: e.g. national, regional and local needs, planned / unplanned maintenance/ outages, network constraints and weather patterns.
BF1: Establish the energy needs (Product and Price) (National, Regional and Local) by analysing data from various systems e.g. comparing information from various systems e.g. DSO, Transmission System Operator (TSO), Meter Data Management System (MDMS), MV90, Historian, Outage Management System (OMS), Customer Care and Billing system (CC&amp;B). Also include frequencies of planning windows.
BF2: Consolidate and Prioritize needs according to National, Regional, Local and Emergencies
BF3: Planning to resolve needs (Types of inputs – Demand response/ Ancillary services/ Distributed Flexible services)
BF4: Match and optimize the needs (Technical requirement/ Budget needs viability).
System Response: Display hierarchical list of planned forecasting needs (Geographical/ Hosting capacity). Categorized in Emergencies/ National/ Regional/ Local (Flexibility for manual override) 
BF5: Publish the forecasting planned to system to enable market participants to bid against forecasting planned with bid closure gates. (RR3.1)
System response: Published planned forecasting with bid closure gates schedule.
RR3.1. (BF5) Published Forecasting durations:
Short term = Day ahead
Medium term = Week ahead
Long term = Month ahead up to a year ahead.</t>
  </si>
  <si>
    <r>
      <t xml:space="preserve">In your technical response select one of  the options below to describe how the required functionality could be delivered, and indicate via screenshots and / or indicate the relevant modules required to provide the functionality:
1. Standard functionality 
    or deliver by configuration 
   </t>
    </r>
    <r>
      <rPr>
        <b/>
        <sz val="8"/>
        <rFont val="Arial"/>
        <family val="2"/>
      </rPr>
      <t xml:space="preserve"> [Std / config] </t>
    </r>
    <r>
      <rPr>
        <sz val="8"/>
        <rFont val="Arial"/>
        <family val="2"/>
      </rPr>
      <t xml:space="preserve">
2. Deliver by built in customization tools 
    or deliver by development (changes are preserved in future upgrades
   </t>
    </r>
    <r>
      <rPr>
        <b/>
        <sz val="8"/>
        <rFont val="Arial"/>
        <family val="2"/>
      </rPr>
      <t xml:space="preserve"> [Cust / dev1]</t>
    </r>
    <r>
      <rPr>
        <sz val="8"/>
        <rFont val="Arial"/>
        <family val="2"/>
      </rPr>
      <t xml:space="preserve">
3. Deliver by development (BUT changes NOT preserved in future upgrades) 
    or not possible 
    </t>
    </r>
    <r>
      <rPr>
        <b/>
        <sz val="8"/>
        <rFont val="Arial"/>
        <family val="2"/>
      </rPr>
      <t>[Dev2 / No]</t>
    </r>
    <r>
      <rPr>
        <sz val="8"/>
        <rFont val="Arial"/>
        <family val="2"/>
      </rPr>
      <t xml:space="preserve">
</t>
    </r>
    <r>
      <rPr>
        <b/>
        <sz val="8"/>
        <rFont val="Arial"/>
        <family val="2"/>
      </rPr>
      <t>Note: Select an option and provide evidence for each item from BF1 to BF5.</t>
    </r>
    <r>
      <rPr>
        <sz val="8"/>
        <rFont val="Arial"/>
        <family val="2"/>
      </rPr>
      <t xml:space="preserve">
</t>
    </r>
  </si>
  <si>
    <t>F_CET4</t>
  </si>
  <si>
    <t>Energy Procurement 
(Bidding/ Transfer pricing)</t>
  </si>
  <si>
    <r>
      <t xml:space="preserve">Eskom requires an Energy Trading solution that is able to:
Allow market participants access to the Dx CET system and submit bids for approved products and services according to published forecasted planning.
</t>
    </r>
    <r>
      <rPr>
        <b/>
        <sz val="8"/>
        <rFont val="Arial"/>
        <family val="2"/>
      </rPr>
      <t>BF1:</t>
    </r>
    <r>
      <rPr>
        <sz val="8"/>
        <rFont val="Arial"/>
        <family val="2"/>
      </rPr>
      <t xml:space="preserve"> Receive bids submitted by market participants
</t>
    </r>
    <r>
      <rPr>
        <b/>
        <sz val="8"/>
        <rFont val="Arial"/>
        <family val="2"/>
      </rPr>
      <t xml:space="preserve">BF2: </t>
    </r>
    <r>
      <rPr>
        <sz val="8"/>
        <rFont val="Arial"/>
        <family val="2"/>
      </rPr>
      <t xml:space="preserve">System response: Evaluate and Rank bids received against products and services (BR4.1)
</t>
    </r>
    <r>
      <rPr>
        <b/>
        <sz val="8"/>
        <rFont val="Arial"/>
        <family val="2"/>
      </rPr>
      <t>BF3:</t>
    </r>
    <r>
      <rPr>
        <sz val="8"/>
        <rFont val="Arial"/>
        <family val="2"/>
      </rPr>
      <t xml:space="preserve"> System response: Consolidate and Aggregate bids received (BR4.2)
</t>
    </r>
    <r>
      <rPr>
        <b/>
        <sz val="8"/>
        <rFont val="Arial"/>
        <family val="2"/>
      </rPr>
      <t>BF4:</t>
    </r>
    <r>
      <rPr>
        <sz val="8"/>
        <rFont val="Arial"/>
        <family val="2"/>
      </rPr>
      <t xml:space="preserve"> Provide consolidated update to DSO upon bid gate closure
System Response: Save updated bidding register for DSO to action
</t>
    </r>
    <r>
      <rPr>
        <b/>
        <sz val="8"/>
        <rFont val="Arial"/>
        <family val="2"/>
      </rPr>
      <t>BF5:</t>
    </r>
    <r>
      <rPr>
        <sz val="8"/>
        <rFont val="Arial"/>
        <family val="2"/>
      </rPr>
      <t xml:space="preserve"> Confirm Technical Clearance
System response: Save technical clearance confirmation
</t>
    </r>
    <r>
      <rPr>
        <b/>
        <sz val="8"/>
        <rFont val="Arial"/>
        <family val="2"/>
      </rPr>
      <t>BF6:</t>
    </r>
    <r>
      <rPr>
        <sz val="8"/>
        <rFont val="Arial"/>
        <family val="2"/>
      </rPr>
      <t xml:space="preserve"> Notify successful bids market participants</t>
    </r>
  </si>
  <si>
    <r>
      <t xml:space="preserve">In your technical response select one of  the options below to describe how the required functionality could be delivered, and indicate via screenshots and / or indicate the relevant modules required to provide the functionality:
1. Standard functionality 
    or deliver by configuration 
    </t>
    </r>
    <r>
      <rPr>
        <b/>
        <sz val="8"/>
        <rFont val="Arial"/>
        <family val="2"/>
      </rPr>
      <t xml:space="preserve">[Std / config] </t>
    </r>
    <r>
      <rPr>
        <sz val="8"/>
        <rFont val="Arial"/>
        <family val="2"/>
      </rPr>
      <t xml:space="preserve">
2. Deliver by built in customization tools 
    or deliver by development (changes are preserved in future upgrades
    </t>
    </r>
    <r>
      <rPr>
        <b/>
        <sz val="8"/>
        <rFont val="Arial"/>
        <family val="2"/>
      </rPr>
      <t>[Cust / dev1]</t>
    </r>
    <r>
      <rPr>
        <sz val="8"/>
        <rFont val="Arial"/>
        <family val="2"/>
      </rPr>
      <t xml:space="preserve">
3. Deliver by development (BUT changes NOT preserved in future upgrades) 
    or not possible 
    </t>
    </r>
    <r>
      <rPr>
        <b/>
        <sz val="8"/>
        <rFont val="Arial"/>
        <family val="2"/>
      </rPr>
      <t>[Dev2 / No]</t>
    </r>
    <r>
      <rPr>
        <sz val="8"/>
        <rFont val="Arial"/>
        <family val="2"/>
      </rPr>
      <t xml:space="preserve">
</t>
    </r>
    <r>
      <rPr>
        <b/>
        <sz val="8"/>
        <rFont val="Arial"/>
        <family val="2"/>
      </rPr>
      <t>Note: Select an option and provide evidence for each item from BF1 to BF6.</t>
    </r>
    <r>
      <rPr>
        <sz val="8"/>
        <rFont val="Arial"/>
        <family val="2"/>
      </rPr>
      <t xml:space="preserve">
</t>
    </r>
  </si>
  <si>
    <t>F_CET5</t>
  </si>
  <si>
    <r>
      <t xml:space="preserve">Eskom requires an Energy Trading solution that is able to:
Analyse and clear bids received in the energy trading landscape determining the following: 
a. Impact of bids received against planned budgets, 
b. The products and services on offer and expenditure against them, improvement opportunities, pre-qualification requirements and interfacing, existing needs considering pricing/ markets and flexible services, settlements and defaulting reasons.
</t>
    </r>
    <r>
      <rPr>
        <b/>
        <sz val="8"/>
        <rFont val="Arial"/>
        <family val="2"/>
      </rPr>
      <t>BF1:</t>
    </r>
    <r>
      <rPr>
        <sz val="8"/>
        <rFont val="Arial"/>
        <family val="2"/>
      </rPr>
      <t xml:space="preserve"> Analyse available bid forecasting impact on bottom line. (Compare actual versus budget)
System response: Display, save, print, and export various reports in different formats
</t>
    </r>
    <r>
      <rPr>
        <b/>
        <sz val="8"/>
        <rFont val="Arial"/>
        <family val="2"/>
      </rPr>
      <t>BF2:</t>
    </r>
    <r>
      <rPr>
        <sz val="8"/>
        <rFont val="Arial"/>
        <family val="2"/>
      </rPr>
      <t xml:space="preserve"> Reviewing portfolio of products and services issued against objectives and budgets set
System response: Display, save, print, and export various reports in different formats
</t>
    </r>
    <r>
      <rPr>
        <b/>
        <sz val="8"/>
        <rFont val="Arial"/>
        <family val="2"/>
      </rPr>
      <t>BF3:</t>
    </r>
    <r>
      <rPr>
        <sz val="8"/>
        <rFont val="Arial"/>
        <family val="2"/>
      </rPr>
      <t xml:space="preserve"> Continuous improvement analysis/ review- Analyse prequalification requirements and interfacing 
System Response: Display, save, print, and export various reports in different formats
</t>
    </r>
    <r>
      <rPr>
        <b/>
        <sz val="8"/>
        <rFont val="Arial"/>
        <family val="2"/>
      </rPr>
      <t xml:space="preserve">BF4: </t>
    </r>
    <r>
      <rPr>
        <sz val="8"/>
        <rFont val="Arial"/>
        <family val="2"/>
      </rPr>
      <t xml:space="preserve">Analysis of existing needs (pricing/ market/ flexible services)
System response: Display, save, print, and export various reports in different formats
</t>
    </r>
    <r>
      <rPr>
        <b/>
        <sz val="8"/>
        <rFont val="Arial"/>
        <family val="2"/>
      </rPr>
      <t>BF5:</t>
    </r>
    <r>
      <rPr>
        <sz val="8"/>
        <rFont val="Arial"/>
        <family val="2"/>
      </rPr>
      <t xml:space="preserve"> Compare settlements against the current contract agreement
System response: Display, save, print, and export various reports in different formats
</t>
    </r>
    <r>
      <rPr>
        <b/>
        <sz val="8"/>
        <rFont val="Arial"/>
        <family val="2"/>
      </rPr>
      <t>BF6:</t>
    </r>
    <r>
      <rPr>
        <sz val="8"/>
        <rFont val="Arial"/>
        <family val="2"/>
      </rPr>
      <t xml:space="preserve"> Update commercially accepted bids register 
System response: Save updated bids register</t>
    </r>
  </si>
  <si>
    <t>F_CET6</t>
  </si>
  <si>
    <t>Perform metering and validation</t>
  </si>
  <si>
    <r>
      <t xml:space="preserve">Eskom requires an Energy Trading solution that is able to:
Consolidate and validate metering for all market participants according their respective contractual agreements in preparation to settle account agreements.
</t>
    </r>
    <r>
      <rPr>
        <b/>
        <sz val="8"/>
        <rFont val="Arial"/>
        <family val="2"/>
      </rPr>
      <t xml:space="preserve">
BF1.</t>
    </r>
    <r>
      <rPr>
        <sz val="8"/>
        <rFont val="Arial"/>
        <family val="2"/>
      </rPr>
      <t xml:space="preserve"> Receive contracted metering data 
System response: Display data 
</t>
    </r>
    <r>
      <rPr>
        <b/>
        <sz val="8"/>
        <rFont val="Arial"/>
        <family val="2"/>
      </rPr>
      <t>BF2.</t>
    </r>
    <r>
      <rPr>
        <sz val="8"/>
        <rFont val="Arial"/>
        <family val="2"/>
      </rPr>
      <t xml:space="preserve"> Validate actual versus contracted energy 
System response: Display actual versus contracted and differences
</t>
    </r>
    <r>
      <rPr>
        <b/>
        <sz val="8"/>
        <rFont val="Arial"/>
        <family val="2"/>
      </rPr>
      <t>BF3.</t>
    </r>
    <r>
      <rPr>
        <sz val="8"/>
        <rFont val="Arial"/>
        <family val="2"/>
      </rPr>
      <t xml:space="preserve"> Manage exceptions (AF1)
System response: Save updated corrections
</t>
    </r>
    <r>
      <rPr>
        <b/>
        <sz val="8"/>
        <rFont val="Arial"/>
        <family val="2"/>
      </rPr>
      <t>BF4.</t>
    </r>
    <r>
      <rPr>
        <sz val="8"/>
        <rFont val="Arial"/>
        <family val="2"/>
      </rPr>
      <t xml:space="preserve"> Validation approval 
System response: Save approved validations</t>
    </r>
  </si>
  <si>
    <r>
      <t xml:space="preserve">In your technical response select one of  the options below to describe how the required functionality could be delivered, and indicate via screenshots and / or indicate the relevant modules required to provide the functionality:
1. Standard functionality 
    or deliver by configuration 
    </t>
    </r>
    <r>
      <rPr>
        <b/>
        <sz val="8"/>
        <rFont val="Arial"/>
        <family val="2"/>
      </rPr>
      <t xml:space="preserve">[Std / config] </t>
    </r>
    <r>
      <rPr>
        <sz val="8"/>
        <rFont val="Arial"/>
        <family val="2"/>
      </rPr>
      <t xml:space="preserve">
2. Deliver by built in customization tools 
    or deliver by development (changes are preserved in future upgrades
    </t>
    </r>
    <r>
      <rPr>
        <b/>
        <sz val="8"/>
        <rFont val="Arial"/>
        <family val="2"/>
      </rPr>
      <t>[Cust / dev1]</t>
    </r>
    <r>
      <rPr>
        <sz val="8"/>
        <rFont val="Arial"/>
        <family val="2"/>
      </rPr>
      <t xml:space="preserve">
3. Deliver by development (BUT changes NOT preserved in future upgrades) 
    or not possible 
    </t>
    </r>
    <r>
      <rPr>
        <b/>
        <sz val="8"/>
        <rFont val="Arial"/>
        <family val="2"/>
      </rPr>
      <t>[Dev2 / No]</t>
    </r>
    <r>
      <rPr>
        <sz val="8"/>
        <rFont val="Arial"/>
        <family val="2"/>
      </rPr>
      <t xml:space="preserve">
</t>
    </r>
    <r>
      <rPr>
        <b/>
        <sz val="8"/>
        <rFont val="Arial"/>
        <family val="2"/>
      </rPr>
      <t xml:space="preserve">Note: Select an option and provide evidence for each item from BF1 to BF4.
</t>
    </r>
  </si>
  <si>
    <t>F_CET7</t>
  </si>
  <si>
    <t>Manage energy settlements and reporting</t>
  </si>
  <si>
    <r>
      <t xml:space="preserve">Eskom requires an Energy Trading solution that is able to:
Compute financial energy settlements. Validate and manage trade reports, adjustments, exceptions and notifications to market participants to provide accurate invoicing.
</t>
    </r>
    <r>
      <rPr>
        <b/>
        <sz val="8"/>
        <rFont val="Arial"/>
        <family val="2"/>
      </rPr>
      <t>BF1.</t>
    </r>
    <r>
      <rPr>
        <sz val="8"/>
        <rFont val="Arial"/>
        <family val="2"/>
      </rPr>
      <t xml:space="preserve"> Compute financial settlements based on approved data
System response: Save updated settlements data
</t>
    </r>
    <r>
      <rPr>
        <b/>
        <sz val="8"/>
        <rFont val="Arial"/>
        <family val="2"/>
      </rPr>
      <t>BF2.</t>
    </r>
    <r>
      <rPr>
        <sz val="8"/>
        <rFont val="Arial"/>
        <family val="2"/>
      </rPr>
      <t xml:space="preserve"> Receive trade reports 
System response: Save trade reports
</t>
    </r>
    <r>
      <rPr>
        <b/>
        <sz val="8"/>
        <rFont val="Arial"/>
        <family val="2"/>
      </rPr>
      <t xml:space="preserve">BF3. </t>
    </r>
    <r>
      <rPr>
        <sz val="8"/>
        <rFont val="Arial"/>
        <family val="2"/>
      </rPr>
      <t xml:space="preserve">Validate trade reports 
</t>
    </r>
    <r>
      <rPr>
        <b/>
        <sz val="8"/>
        <rFont val="Arial"/>
        <family val="2"/>
      </rPr>
      <t>BF4.</t>
    </r>
    <r>
      <rPr>
        <sz val="8"/>
        <rFont val="Arial"/>
        <family val="2"/>
      </rPr>
      <t xml:space="preserve"> Manage adjustments/ exceptions
System response: Update and save adjustments/ exceptions as a settlement statement.
</t>
    </r>
    <r>
      <rPr>
        <b/>
        <sz val="8"/>
        <rFont val="Arial"/>
        <family val="2"/>
      </rPr>
      <t>BF5.</t>
    </r>
    <r>
      <rPr>
        <sz val="8"/>
        <rFont val="Arial"/>
        <family val="2"/>
      </rPr>
      <t xml:space="preserve"> Notify market participants to provide invoices 
System response: Email/ Cell messages to market participant to provide invoices</t>
    </r>
  </si>
  <si>
    <t>F_CET8</t>
  </si>
  <si>
    <t>Manage Settlement Payments</t>
  </si>
  <si>
    <r>
      <t xml:space="preserve">Eskom requires an Energy Trading solution that is able to:
Manage the consolidated settlement payments process until proof of payment (remittance) received by market participants. Updated data will be required for future budgeting and improvement of the processes.
</t>
    </r>
    <r>
      <rPr>
        <b/>
        <sz val="8"/>
        <color rgb="FF003896"/>
        <rFont val="Arial"/>
        <family val="2"/>
      </rPr>
      <t xml:space="preserve">BF1: </t>
    </r>
    <r>
      <rPr>
        <sz val="8"/>
        <color rgb="FF003896"/>
        <rFont val="Arial"/>
        <family val="2"/>
      </rPr>
      <t>Supplier/Eskom user emails a valid Tax invoice to Accounts Payable (AP).</t>
    </r>
    <r>
      <rPr>
        <sz val="8"/>
        <rFont val="Arial"/>
        <family val="2"/>
      </rPr>
      <t xml:space="preserve">
</t>
    </r>
    <r>
      <rPr>
        <b/>
        <sz val="8"/>
        <rFont val="Arial"/>
        <family val="2"/>
      </rPr>
      <t xml:space="preserve">BF2: </t>
    </r>
    <r>
      <rPr>
        <sz val="8"/>
        <rFont val="Arial"/>
        <family val="2"/>
      </rPr>
      <t xml:space="preserve">AP receives and checks the invoice for Tax validity and Purchase Order (PO) validity.
System response: Save invoice as attachment to the relevant system transaction
</t>
    </r>
    <r>
      <rPr>
        <b/>
        <sz val="8"/>
        <rFont val="Arial"/>
        <family val="2"/>
      </rPr>
      <t xml:space="preserve">BF3: </t>
    </r>
    <r>
      <rPr>
        <sz val="8"/>
        <rFont val="Arial"/>
        <family val="2"/>
      </rPr>
      <t xml:space="preserve">AP then processes the invoice if Service entry/ Goods Receipt (GR) is done or parks the invoice if GR is not done (AF1)
System Response: Validate and save invoice as attachment to the service entry. Link to GR.
</t>
    </r>
    <r>
      <rPr>
        <b/>
        <sz val="8"/>
        <rFont val="Arial"/>
        <family val="2"/>
      </rPr>
      <t xml:space="preserve">BF4: </t>
    </r>
    <r>
      <rPr>
        <sz val="8"/>
        <rFont val="Arial"/>
        <family val="2"/>
      </rPr>
      <t xml:space="preserve">Reconcile account holder account with invoice and determine balance for settlement (credit/ debt management)?
System Response: Update and save settlement statement 
</t>
    </r>
    <r>
      <rPr>
        <b/>
        <sz val="8"/>
        <rFont val="Arial"/>
        <family val="2"/>
      </rPr>
      <t xml:space="preserve">BF5: </t>
    </r>
    <r>
      <rPr>
        <sz val="8"/>
        <rFont val="Arial"/>
        <family val="2"/>
      </rPr>
      <t xml:space="preserve">Invoice is paid as per the payment terms on the PO counted from the date of submission of the invoice.
System Response: Post settlement accounts for approval and next payment run. Send remittance notification to market participants.
</t>
    </r>
    <r>
      <rPr>
        <b/>
        <sz val="8"/>
        <rFont val="Arial"/>
        <family val="2"/>
      </rPr>
      <t xml:space="preserve">AF1: </t>
    </r>
    <r>
      <rPr>
        <sz val="8"/>
        <rFont val="Arial"/>
        <family val="2"/>
      </rPr>
      <t>(BF3) When Good/ Service receipt is not done park invoice until GR is done then return to BF3.</t>
    </r>
  </si>
  <si>
    <r>
      <t xml:space="preserve">In your technical response select one of  the options below to describe how the required functionality could be delivered, and indicate via screenshots and / or indicate the relevant modules required to provide the functionality:
1. Standard functionality 
    or deliver by configuration 
    </t>
    </r>
    <r>
      <rPr>
        <b/>
        <sz val="8"/>
        <rFont val="Arial"/>
        <family val="2"/>
      </rPr>
      <t xml:space="preserve">[Std / config] </t>
    </r>
    <r>
      <rPr>
        <sz val="8"/>
        <rFont val="Arial"/>
        <family val="2"/>
      </rPr>
      <t xml:space="preserve">
2. Deliver by built in customization tools 
    or deliver by development (changes are preserved in future upgrades
    </t>
    </r>
    <r>
      <rPr>
        <b/>
        <sz val="8"/>
        <rFont val="Arial"/>
        <family val="2"/>
      </rPr>
      <t>[Cust / dev1]</t>
    </r>
    <r>
      <rPr>
        <sz val="8"/>
        <rFont val="Arial"/>
        <family val="2"/>
      </rPr>
      <t xml:space="preserve">
3. Deliver by development (BUT changes NOT preserved in future upgrades) 
    or not possible 
    </t>
    </r>
    <r>
      <rPr>
        <b/>
        <sz val="8"/>
        <rFont val="Arial"/>
        <family val="2"/>
      </rPr>
      <t>[Dev2 / No]</t>
    </r>
    <r>
      <rPr>
        <sz val="8"/>
        <rFont val="Arial"/>
        <family val="2"/>
      </rPr>
      <t xml:space="preserve">
</t>
    </r>
    <r>
      <rPr>
        <b/>
        <sz val="8"/>
        <rFont val="Arial"/>
        <family val="2"/>
      </rPr>
      <t>Note: Select an option and provide evidence for each item from BF1 to AF1</t>
    </r>
    <r>
      <rPr>
        <sz val="8"/>
        <rFont val="Arial"/>
        <family val="2"/>
      </rPr>
      <t xml:space="preserve">
</t>
    </r>
  </si>
  <si>
    <t>Eskom Group IT:  Technical Evaluation Criteria
Category: Non-Functional</t>
  </si>
  <si>
    <t>NF1</t>
  </si>
  <si>
    <t>Support</t>
  </si>
  <si>
    <t xml:space="preserve">Eskom requires the solution to allow a system specialist to configure integrations to other Eskom applications i.e. expose information from other applications using the methods below:
- Webservices
- XML
- Microservices/Serverless
- MSMQ (Microsoft message queuing)
- SOAP
</t>
  </si>
  <si>
    <t>In your technical response, indicate whether your solution provides customizable fields to allow a system specialist to configure integrations to other Eskom applications and list the configurations available.
Provide relevant evidence re modules, screenshots, manuals etc…</t>
  </si>
  <si>
    <r>
      <t xml:space="preserve">Solution provides customizable fields to allow configuration of integrations using </t>
    </r>
    <r>
      <rPr>
        <b/>
        <sz val="8"/>
        <rFont val="Arial"/>
        <family val="2"/>
      </rPr>
      <t>webservices</t>
    </r>
  </si>
  <si>
    <r>
      <t xml:space="preserve">Solution provides customizable fields to allow configuration of integrations using </t>
    </r>
    <r>
      <rPr>
        <b/>
        <sz val="8"/>
        <rFont val="Arial"/>
        <family val="2"/>
      </rPr>
      <t>XML</t>
    </r>
  </si>
  <si>
    <r>
      <t xml:space="preserve">Solution provides customizable fields to allow configuration of integrations using </t>
    </r>
    <r>
      <rPr>
        <b/>
        <sz val="8"/>
        <rFont val="Arial"/>
        <family val="2"/>
      </rPr>
      <t>Microservices/Serverless</t>
    </r>
  </si>
  <si>
    <r>
      <t xml:space="preserve">Solution provides customizable fields to allow configuration of integrations using </t>
    </r>
    <r>
      <rPr>
        <b/>
        <sz val="8"/>
        <rFont val="Arial"/>
        <family val="2"/>
      </rPr>
      <t>MSMQ</t>
    </r>
  </si>
  <si>
    <r>
      <t xml:space="preserve">Solution provides customizable fields to allow configuration of integrations using </t>
    </r>
    <r>
      <rPr>
        <b/>
        <sz val="8"/>
        <rFont val="Arial"/>
        <family val="2"/>
      </rPr>
      <t>SOAP</t>
    </r>
  </si>
  <si>
    <t>NF2</t>
  </si>
  <si>
    <t xml:space="preserve">Eskom requires the solution to allow a system administrator to be able to perform the following:
1. Install system software updates, changes and patches 
2. Manage database modifications
3. Manage licences
</t>
  </si>
  <si>
    <t>In your technical response, indicate whether your solution allows a system administrator to:
1. Install system software updates, changes and patches
2. Manage database modifications
3. Manage licences 
Provide relevant evidence re modules, screenshots, manuals etc…</t>
  </si>
  <si>
    <t>Solution allows a system administrator to  install system software updates, changes and patches.</t>
  </si>
  <si>
    <t>Solution allows a system administrator to  manage database modifications.</t>
  </si>
  <si>
    <t>Solution allows a system administrator to  manage licences.</t>
  </si>
  <si>
    <t>NF3</t>
  </si>
  <si>
    <t xml:space="preserve">Eskom requires that the solution does not require antivirus software to be disabled.
Leading anti-virus software:
1. McAfee
2. Avast
3. Norton
</t>
  </si>
  <si>
    <t xml:space="preserve">In your technical response, send a listing of antivirus software that your solution is compatible with.
OR Not compatible with.
Provide relevant evidence re modules, screenshots, manuals etc.
</t>
  </si>
  <si>
    <t>Solution is compatible with McAfee antivirus software.</t>
  </si>
  <si>
    <t>Solution is compatible with Avast antivirus software.</t>
  </si>
  <si>
    <t>Solution is compatible with Norton antivirus software.</t>
  </si>
  <si>
    <t>NF4</t>
  </si>
  <si>
    <t>Eskom requires the solution to allow the following synchronisation methods between database instances:
1. Golden gate (DB2 and Oracle databases)
2. SQL server replications</t>
  </si>
  <si>
    <t>In your technical response, indicate whether your solution allows the following database synchronisation methods viz.
- Sync method A
- Sync method B
Provide relevant evidence re modules, screenshots, manuals etc…</t>
  </si>
  <si>
    <t>Solution allows synchronisation using Golden gate (DB2 and Oracle databases).</t>
  </si>
  <si>
    <t>Solution allows synchronisation using SQL server replications.</t>
  </si>
  <si>
    <t>NF5</t>
  </si>
  <si>
    <t xml:space="preserve">Eskom needs to be aware of any supporting software licenses that are required for solution deployment. </t>
  </si>
  <si>
    <t>In your technical response, indicate what supporting software licences are requirement for solution deployment. 
Provide listing of supporting licences.</t>
  </si>
  <si>
    <t>Listing of supporting software licences provided OR no supporting software licences required.</t>
  </si>
  <si>
    <r>
      <t>Listing of supporting software licences</t>
    </r>
    <r>
      <rPr>
        <b/>
        <sz val="8"/>
        <rFont val="Arial"/>
        <family val="2"/>
      </rPr>
      <t xml:space="preserve"> NOT</t>
    </r>
    <r>
      <rPr>
        <sz val="8"/>
        <rFont val="Arial"/>
        <family val="2"/>
      </rPr>
      <t xml:space="preserve"> provided.</t>
    </r>
  </si>
  <si>
    <t>NF6</t>
  </si>
  <si>
    <t xml:space="preserve">Eskom requires access to a maintained database / listing of known issues of the system. </t>
  </si>
  <si>
    <t>In your technical response, indicate if a maintained database / listing of known system issues would be accessible to Eskom system support.
Provide location of maintained known issues database / listing OR provide known issues listing.</t>
  </si>
  <si>
    <t>Location of maintained known issues maintained database / listing OR known issues listing provided.</t>
  </si>
  <si>
    <r>
      <t xml:space="preserve">Location of maintained known issues database / listing OR known issues listing </t>
    </r>
    <r>
      <rPr>
        <b/>
        <sz val="8"/>
        <rFont val="Arial"/>
        <family val="2"/>
      </rPr>
      <t xml:space="preserve">NOT </t>
    </r>
    <r>
      <rPr>
        <sz val="8"/>
        <rFont val="Arial"/>
        <family val="2"/>
      </rPr>
      <t>provided.</t>
    </r>
  </si>
  <si>
    <t>NF7</t>
  </si>
  <si>
    <t>Eskom needs to able to effectively manage system licenses.
License limitations e.g. number of concurrent / registered users.</t>
  </si>
  <si>
    <t>In your technical response indicate your licensing limitations.
Provide your licencing model.</t>
  </si>
  <si>
    <t>Provided licensing model - no limitations</t>
  </si>
  <si>
    <t>Provided licensing model - with limitations</t>
  </si>
  <si>
    <t>Licensing model not provided</t>
  </si>
  <si>
    <t>NF8</t>
  </si>
  <si>
    <t xml:space="preserve">Eskom needs to able to effectively manage system licenses and as such requires a mechanism to increase / decrease our system licencing as required.
True-Up licenses:
- The yearly evaluation of qualified licenses deployed in an Enterprise Agreement (EA).
- Compares the number of licenses used to the number purchased in the initial order.
- Allows companies to adjust their license count and acquire additional licenses if needed.
- Part of the reconciliation process for volume licenses.
</t>
  </si>
  <si>
    <t>In your technical response indicate whether your licence model is flexible e.g. a true-up mechanism exists.
Provide your licencing model.</t>
  </si>
  <si>
    <t>Flexible licencing model in place</t>
  </si>
  <si>
    <t>Inflexible licencing model in place</t>
  </si>
  <si>
    <t>NF9</t>
  </si>
  <si>
    <r>
      <t xml:space="preserve">Eskom requires the solution to provide mechanisms / plugins to investigate system performance issues.
1. </t>
    </r>
    <r>
      <rPr>
        <b/>
        <sz val="8"/>
        <color rgb="FF000000"/>
        <rFont val="Arial"/>
        <family val="2"/>
      </rPr>
      <t>Logging and monitoring tools</t>
    </r>
    <r>
      <rPr>
        <sz val="8"/>
        <color rgb="FF000000"/>
        <rFont val="Arial"/>
        <family val="2"/>
      </rPr>
      <t xml:space="preserve"> (e.g., Splunk, Prometheus) to collect and analyse system data.
2.</t>
    </r>
    <r>
      <rPr>
        <b/>
        <sz val="8"/>
        <color rgb="FF000000"/>
        <rFont val="Arial"/>
        <family val="2"/>
      </rPr>
      <t xml:space="preserve"> Debugging techniques </t>
    </r>
    <r>
      <rPr>
        <sz val="8"/>
        <color rgb="FF000000"/>
        <rFont val="Arial"/>
        <family val="2"/>
      </rPr>
      <t>(e.g., print statements, debuggers) to identify code-level issues.
3.</t>
    </r>
    <r>
      <rPr>
        <b/>
        <sz val="8"/>
        <color rgb="FF000000"/>
        <rFont val="Arial"/>
        <family val="2"/>
      </rPr>
      <t xml:space="preserve"> Performance profiling tools</t>
    </r>
    <r>
      <rPr>
        <sz val="8"/>
        <color rgb="FF000000"/>
        <rFont val="Arial"/>
        <family val="2"/>
      </rPr>
      <t xml:space="preserve"> (e.g., New Relic, AppDynamics) to analyse system resources and bottlenecks.
4. </t>
    </r>
    <r>
      <rPr>
        <b/>
        <sz val="8"/>
        <color rgb="FF000000"/>
        <rFont val="Arial"/>
        <family val="2"/>
      </rPr>
      <t>Tracing and instrumentation tools</t>
    </r>
    <r>
      <rPr>
        <sz val="8"/>
        <color rgb="FF000000"/>
        <rFont val="Arial"/>
        <family val="2"/>
      </rPr>
      <t xml:space="preserve"> (e.g., Jaeger, Open Telemetry) to track system requests and transactions.
5. </t>
    </r>
    <r>
      <rPr>
        <b/>
        <sz val="8"/>
        <color rgb="FF000000"/>
        <rFont val="Arial"/>
        <family val="2"/>
      </rPr>
      <t>System metrics and KPIs</t>
    </r>
    <r>
      <rPr>
        <sz val="8"/>
        <color rgb="FF000000"/>
        <rFont val="Arial"/>
        <family val="2"/>
      </rPr>
      <t xml:space="preserve"> (e.g., response time, throughput) to measure performance.
6. </t>
    </r>
    <r>
      <rPr>
        <b/>
        <sz val="8"/>
        <color rgb="FF000000"/>
        <rFont val="Arial"/>
        <family val="2"/>
      </rPr>
      <t>User feedback and reporting tools</t>
    </r>
    <r>
      <rPr>
        <sz val="8"/>
        <color rgb="FF000000"/>
        <rFont val="Arial"/>
        <family val="2"/>
      </rPr>
      <t xml:space="preserve"> (e.g., error reporting, user surveys) to identify issues from user perspectives.
7.</t>
    </r>
    <r>
      <rPr>
        <b/>
        <sz val="8"/>
        <color rgb="FF000000"/>
        <rFont val="Arial"/>
        <family val="2"/>
      </rPr>
      <t xml:space="preserve"> Synthetic monitoring tools</t>
    </r>
    <r>
      <rPr>
        <sz val="8"/>
        <color rgb="FF000000"/>
        <rFont val="Arial"/>
        <family val="2"/>
      </rPr>
      <t xml:space="preserve"> (e.g., Selenium, Gatling) to simulate user interactions and test system performance.
8. </t>
    </r>
    <r>
      <rPr>
        <b/>
        <sz val="8"/>
        <color rgb="FF000000"/>
        <rFont val="Arial"/>
        <family val="2"/>
      </rPr>
      <t>Root cause analysis</t>
    </r>
    <r>
      <rPr>
        <sz val="8"/>
        <color rgb="FF000000"/>
        <rFont val="Arial"/>
        <family val="2"/>
      </rPr>
      <t xml:space="preserve"> (RCA) methodologies (e.g., Five Whys, Fishbone diagrams) to systematically identify underlying causes of performance issues.
</t>
    </r>
  </si>
  <si>
    <t>In your technical response provide a listing of the mechanisms used to investigate performance issues.
- Provide performance mechanism / plugin names and types of performance issue it addresses.
- Provide relevant evidence re modules, screenshots, manuals etc…</t>
  </si>
  <si>
    <t>For each mechanism / plugin that is available below award the corresponding score cumulatively.</t>
  </si>
  <si>
    <t>1. Logging and monitoring tools</t>
  </si>
  <si>
    <t>2. Debugging techniques</t>
  </si>
  <si>
    <t>3. Performance profiling tools</t>
  </si>
  <si>
    <t>4. Tracing and instrumentation tools</t>
  </si>
  <si>
    <t>5. System metrics and KPIs</t>
  </si>
  <si>
    <t xml:space="preserve">6. User feedback and reporting tools </t>
  </si>
  <si>
    <t>7. Synthetic monitoring tools</t>
  </si>
  <si>
    <t>8. Root cause analysis</t>
  </si>
  <si>
    <t>NF10</t>
  </si>
  <si>
    <t xml:space="preserve">Eskom requires the solution to provide tools / scripts / reports to investigate / debug system data issues.
</t>
  </si>
  <si>
    <t>In your technical response provide a listing of the tool / script / report names used to investigate  / debug system data issues.
- Provide relevant evidence re modules, screenshots, manuals, reports, scripts or tools etc…</t>
  </si>
  <si>
    <t>Data issue tool / script / report names provided</t>
  </si>
  <si>
    <r>
      <t xml:space="preserve">Data issue tool / script / report names </t>
    </r>
    <r>
      <rPr>
        <b/>
        <sz val="8"/>
        <rFont val="Arial"/>
        <family val="2"/>
      </rPr>
      <t>NOT</t>
    </r>
    <r>
      <rPr>
        <sz val="8"/>
        <rFont val="Arial"/>
        <family val="2"/>
      </rPr>
      <t xml:space="preserve"> provided</t>
    </r>
  </si>
  <si>
    <t>NF11</t>
  </si>
  <si>
    <r>
      <t xml:space="preserve">Eskom requires the solution to handle resource-intensive / time-consuming tasks using multi-threading capabilities.
Note: Multi-threading capabilities refer to the ability of a program or system to execute multiple threads or flows of execution concurrently, improving responsiveness, throughput, and system utilization.
Key aspects of multi-threading capabilities include:
1. </t>
    </r>
    <r>
      <rPr>
        <b/>
        <sz val="8"/>
        <rFont val="Arial"/>
        <family val="2"/>
      </rPr>
      <t>Thread creation</t>
    </r>
    <r>
      <rPr>
        <sz val="8"/>
        <rFont val="Arial"/>
        <family val="2"/>
      </rPr>
      <t xml:space="preserve">: Spawning new threads to perform tasks concurrently.
2. </t>
    </r>
    <r>
      <rPr>
        <b/>
        <sz val="8"/>
        <rFont val="Arial"/>
        <family val="2"/>
      </rPr>
      <t>Thread synchronization</t>
    </r>
    <r>
      <rPr>
        <sz val="8"/>
        <rFont val="Arial"/>
        <family val="2"/>
      </rPr>
      <t xml:space="preserve">: Coordinating thread execution to avoid conflicts and ensure data integrity.
3. </t>
    </r>
    <r>
      <rPr>
        <b/>
        <sz val="8"/>
        <rFont val="Arial"/>
        <family val="2"/>
      </rPr>
      <t>Thread communicatio</t>
    </r>
    <r>
      <rPr>
        <sz val="8"/>
        <rFont val="Arial"/>
        <family val="2"/>
      </rPr>
      <t xml:space="preserve">n: Exchanging data and signals between threads.
4. </t>
    </r>
    <r>
      <rPr>
        <b/>
        <sz val="8"/>
        <rFont val="Arial"/>
        <family val="2"/>
      </rPr>
      <t>Thread scheduling</t>
    </r>
    <r>
      <rPr>
        <sz val="8"/>
        <rFont val="Arial"/>
        <family val="2"/>
      </rPr>
      <t xml:space="preserve">: Managing thread execution order and priority.
5. </t>
    </r>
    <r>
      <rPr>
        <b/>
        <sz val="8"/>
        <rFont val="Arial"/>
        <family val="2"/>
      </rPr>
      <t>Concurrency contro</t>
    </r>
    <r>
      <rPr>
        <sz val="8"/>
        <rFont val="Arial"/>
        <family val="2"/>
      </rPr>
      <t xml:space="preserve">l: Handling simultaneous access to shared resources.
6. </t>
    </r>
    <r>
      <rPr>
        <b/>
        <sz val="8"/>
        <rFont val="Arial"/>
        <family val="2"/>
      </rPr>
      <t>Deadlock handling</t>
    </r>
    <r>
      <rPr>
        <sz val="8"/>
        <rFont val="Arial"/>
        <family val="2"/>
      </rPr>
      <t xml:space="preserve">: Preventing or resolving deadlocks between threads.
7. </t>
    </r>
    <r>
      <rPr>
        <b/>
        <sz val="8"/>
        <rFont val="Arial"/>
        <family val="2"/>
      </rPr>
      <t>Thread pooling</t>
    </r>
    <r>
      <rPr>
        <sz val="8"/>
        <rFont val="Arial"/>
        <family val="2"/>
      </rPr>
      <t xml:space="preserve">: Reusing threads to reduce creation overhead.
8. </t>
    </r>
    <r>
      <rPr>
        <b/>
        <sz val="8"/>
        <rFont val="Arial"/>
        <family val="2"/>
      </rPr>
      <t>Asynchronous programming</t>
    </r>
    <r>
      <rPr>
        <sz val="8"/>
        <rFont val="Arial"/>
        <family val="2"/>
      </rPr>
      <t xml:space="preserve">: Writing code that executes asynchronously, improving responsiveness.
9. </t>
    </r>
    <r>
      <rPr>
        <b/>
        <sz val="8"/>
        <rFont val="Arial"/>
        <family val="2"/>
      </rPr>
      <t>Parallel processing</t>
    </r>
    <r>
      <rPr>
        <sz val="8"/>
        <rFont val="Arial"/>
        <family val="2"/>
      </rPr>
      <t xml:space="preserve">: Dividing tasks into smaller units for concurrent execution.
10. </t>
    </r>
    <r>
      <rPr>
        <b/>
        <sz val="8"/>
        <rFont val="Arial"/>
        <family val="2"/>
      </rPr>
      <t>Load balancing</t>
    </r>
    <r>
      <rPr>
        <sz val="8"/>
        <rFont val="Arial"/>
        <family val="2"/>
      </rPr>
      <t>: Distributing workload across threads for optimal utilization.</t>
    </r>
  </si>
  <si>
    <t>In your technical response indicate the multi-threading capabilities the system caters for / can perform.
- Provide relevant evidence re modules, screenshots, manuals etc…</t>
  </si>
  <si>
    <t>For each multi-threading capability that is available below award the corresponding score cumulatively.</t>
  </si>
  <si>
    <t>1. Thread creation</t>
  </si>
  <si>
    <t>2. Thread synchronization</t>
  </si>
  <si>
    <t>3. Thread communication</t>
  </si>
  <si>
    <t>4. Thread scheduling</t>
  </si>
  <si>
    <t>5. Concurrency control</t>
  </si>
  <si>
    <t>6. Deadlock handling</t>
  </si>
  <si>
    <t>7. Thread pooling</t>
  </si>
  <si>
    <t>8. Asynchronous programming</t>
  </si>
  <si>
    <t>9. Parallel processing</t>
  </si>
  <si>
    <t>10. Load balancing</t>
  </si>
  <si>
    <t>NF12</t>
  </si>
  <si>
    <r>
      <rPr>
        <sz val="8"/>
        <color rgb="FF000000"/>
        <rFont val="Arial"/>
        <family val="2"/>
      </rPr>
      <t xml:space="preserve">Eskom requires the vendor to respond to various solution defect calls in a timely manner.
</t>
    </r>
    <r>
      <rPr>
        <u/>
        <sz val="8"/>
        <color rgb="FF000000"/>
        <rFont val="Arial"/>
        <family val="2"/>
      </rPr>
      <t xml:space="preserve">Severity classifications for software product defect calls:
</t>
    </r>
    <r>
      <rPr>
        <sz val="8"/>
        <color rgb="FF000000"/>
        <rFont val="Arial"/>
        <family val="2"/>
      </rPr>
      <t xml:space="preserve">1.  </t>
    </r>
    <r>
      <rPr>
        <b/>
        <sz val="8"/>
        <color rgb="FF000000"/>
        <rFont val="Arial"/>
        <family val="2"/>
      </rPr>
      <t>Severity 1</t>
    </r>
    <r>
      <rPr>
        <sz val="8"/>
        <color rgb="FF000000"/>
        <rFont val="Arial"/>
        <family val="2"/>
      </rPr>
      <t xml:space="preserve">: Eskom is unable to use the product, which has a critical impact on operations and is willing to provide a 24-hour contact and phone number to assist in the resolution → </t>
    </r>
    <r>
      <rPr>
        <b/>
        <sz val="8"/>
        <color rgb="FF000000"/>
        <rFont val="Arial"/>
        <family val="2"/>
      </rPr>
      <t xml:space="preserve">2hrs
</t>
    </r>
    <r>
      <rPr>
        <sz val="8"/>
        <color rgb="FF000000"/>
        <rFont val="Arial"/>
        <family val="2"/>
      </rPr>
      <t xml:space="preserve">2.  </t>
    </r>
    <r>
      <rPr>
        <b/>
        <sz val="8"/>
        <color rgb="FF000000"/>
        <rFont val="Arial"/>
        <family val="2"/>
      </rPr>
      <t>Severity 2</t>
    </r>
    <r>
      <rPr>
        <sz val="8"/>
        <color rgb="FF000000"/>
        <rFont val="Arial"/>
        <family val="2"/>
      </rPr>
      <t xml:space="preserve">: Eskom is able to use the product, but operations are severely restricted due to the problem → </t>
    </r>
    <r>
      <rPr>
        <b/>
        <sz val="8"/>
        <color rgb="FF000000"/>
        <rFont val="Arial"/>
        <family val="2"/>
      </rPr>
      <t xml:space="preserve">4hrs
</t>
    </r>
    <r>
      <rPr>
        <sz val="8"/>
        <color rgb="FF000000"/>
        <rFont val="Arial"/>
        <family val="2"/>
      </rPr>
      <t xml:space="preserve">3.  </t>
    </r>
    <r>
      <rPr>
        <b/>
        <sz val="8"/>
        <color rgb="FF000000"/>
        <rFont val="Arial"/>
        <family val="2"/>
      </rPr>
      <t>Severity 3</t>
    </r>
    <r>
      <rPr>
        <sz val="8"/>
        <color rgb="FF000000"/>
        <rFont val="Arial"/>
        <family val="2"/>
      </rPr>
      <t xml:space="preserve">: Eskom is able to use the product with some restrictions on the functions that are available. These restrictions do have an impact on Eskom's overall operation → </t>
    </r>
    <r>
      <rPr>
        <b/>
        <sz val="8"/>
        <color rgb="FF000000"/>
        <rFont val="Arial"/>
        <family val="2"/>
      </rPr>
      <t xml:space="preserve">6hrs
</t>
    </r>
    <r>
      <rPr>
        <sz val="8"/>
        <color rgb="FF000000"/>
        <rFont val="Arial"/>
        <family val="2"/>
      </rPr>
      <t xml:space="preserve">4.  </t>
    </r>
    <r>
      <rPr>
        <b/>
        <sz val="8"/>
        <color rgb="FF000000"/>
        <rFont val="Arial"/>
        <family val="2"/>
      </rPr>
      <t>Severity 4</t>
    </r>
    <r>
      <rPr>
        <sz val="8"/>
        <color rgb="FF000000"/>
        <rFont val="Arial"/>
        <family val="2"/>
      </rPr>
      <t xml:space="preserve"> The problem causes little or no impact to Eskom's operation, or a way to circumvent the problem has been found → </t>
    </r>
    <r>
      <rPr>
        <b/>
        <sz val="8"/>
        <color rgb="FF000000"/>
        <rFont val="Arial"/>
        <family val="2"/>
      </rPr>
      <t xml:space="preserve">8hrs </t>
    </r>
  </si>
  <si>
    <t xml:space="preserve">In your technical response, please provide defect resolution performance reporting from other implementations.
- Provide screenshots of relevant incident management systems (or emails), showing incident type (severity) and average time to resolve. 
</t>
  </si>
  <si>
    <t>1 or more implementations that met severity level 1 SLA (average defect resolution within 2hrs)</t>
  </si>
  <si>
    <t>1 or more implementations that met severity level 2 SLA (average defect resolution within 4hrs)</t>
  </si>
  <si>
    <t>1 or more implementations that met severity level 3 SLA (average defect resolution within 6hrs)</t>
  </si>
  <si>
    <t>1 or more implementations that met severity level 4 SLA (average defect resolution within 8hrs)</t>
  </si>
  <si>
    <t>NF13</t>
  </si>
  <si>
    <t>Eskom requires the solution to allow the defining of user roles or profiles to allow for segregation of duties.</t>
  </si>
  <si>
    <t>In your technical response provide a listing of the roles and profile types used to allow for segregation of duties and indicate whether custom roles / profiles can be created.
- Provide roles and relevant system access.
- Provide relevant evidence re modules, screenshots, manuals etc…</t>
  </si>
  <si>
    <t>Solution can create custom roles / profiles
OR
Solution has std / existing system roles or profiles that can be customised</t>
  </si>
  <si>
    <t>Solution cannot create custom roles / profiles 
OR
Solution has std / existing system roles or profiles that cannot be customised
OR 
None supplied</t>
  </si>
  <si>
    <t>NF14</t>
  </si>
  <si>
    <t>Archiving</t>
  </si>
  <si>
    <t>In your technical response provide a listing of the mechanisms/plug-ins used to allow for integration to archiving tools.
- Provide relevant evidence re modules, screenshots, manuals etc…</t>
  </si>
  <si>
    <t>Solution supports use of data management and protection mechanisms e.g. Veritas.</t>
  </si>
  <si>
    <t>Solution supports use of backup mechanisms e.g. Commvault.</t>
  </si>
  <si>
    <t>Solution supports use of other archiving mechanisms.</t>
  </si>
  <si>
    <t>NF15</t>
  </si>
  <si>
    <t>Disaster Recovery</t>
  </si>
  <si>
    <r>
      <t xml:space="preserve">Eskom requires the solution to cater for hot, warm or cold standby modes for disaster recovery.
1. </t>
    </r>
    <r>
      <rPr>
        <b/>
        <sz val="8"/>
        <rFont val="Arial"/>
        <family val="2"/>
      </rPr>
      <t>Hot Standby</t>
    </r>
    <r>
      <rPr>
        <sz val="8"/>
        <rFont val="Arial"/>
        <family val="2"/>
      </rPr>
      <t xml:space="preserve">: A duplicate system is always running and ready to take over immediately.
2. </t>
    </r>
    <r>
      <rPr>
        <b/>
        <sz val="8"/>
        <rFont val="Arial"/>
        <family val="2"/>
      </rPr>
      <t>Warm Standby</t>
    </r>
    <r>
      <rPr>
        <sz val="8"/>
        <rFont val="Arial"/>
        <family val="2"/>
      </rPr>
      <t xml:space="preserve">: A backup system is partially configured and can be quickly activated.
3. </t>
    </r>
    <r>
      <rPr>
        <b/>
        <sz val="8"/>
        <rFont val="Arial"/>
        <family val="2"/>
      </rPr>
      <t>Cold Standby</t>
    </r>
    <r>
      <rPr>
        <sz val="8"/>
        <rFont val="Arial"/>
        <family val="2"/>
      </rPr>
      <t>: A basic system is in place, but requires configuration and data restoration.</t>
    </r>
  </si>
  <si>
    <t>In your technical response indicate which standby mode your technology supports viz. hot, warm or cold standby.
- Provide relevant evidence re white papers / manuals on solution catering for the modes mentioned, screenshots of where it was implemented, manuals etc…</t>
  </si>
  <si>
    <t>Hot, warm and cold standby available</t>
  </si>
  <si>
    <t>Warm and cold standby available</t>
  </si>
  <si>
    <t>Only cold standby available</t>
  </si>
  <si>
    <t>No standby available</t>
  </si>
  <si>
    <t>User
Management</t>
  </si>
  <si>
    <r>
      <t xml:space="preserve">Eskom requires an Energy Trading solution that is able to:
Manage user access considering both Eskom internal users and external market participant users.
</t>
    </r>
    <r>
      <rPr>
        <b/>
        <sz val="8"/>
        <rFont val="Arial"/>
        <family val="2"/>
      </rPr>
      <t>BF1:</t>
    </r>
    <r>
      <rPr>
        <sz val="8"/>
        <rFont val="Arial"/>
        <family val="2"/>
      </rPr>
      <t xml:space="preserve"> Eskom user apply on e-forms to gain access on Dx CET system and after approval the system
administrator will receive the approved request via e-forms workflow.
System response: Administrator receive approved e-form request.
</t>
    </r>
    <r>
      <rPr>
        <b/>
        <sz val="8"/>
        <rFont val="Arial"/>
        <family val="2"/>
      </rPr>
      <t>BF2:</t>
    </r>
    <r>
      <rPr>
        <sz val="8"/>
        <rFont val="Arial"/>
        <family val="2"/>
      </rPr>
      <t xml:space="preserve"> System administrator will create user access
System response: Notify affected user.
</t>
    </r>
    <r>
      <rPr>
        <b/>
        <sz val="8"/>
        <rFont val="Arial"/>
        <family val="2"/>
      </rPr>
      <t>BF3:</t>
    </r>
    <r>
      <rPr>
        <sz val="8"/>
        <rFont val="Arial"/>
        <family val="2"/>
      </rPr>
      <t xml:space="preserve"> Market participant register in Dx CET Web portal to gain access as a service/ product provider.
System response: Notify market participant about successful registration confirming username and
password.
</t>
    </r>
    <r>
      <rPr>
        <b/>
        <sz val="8"/>
        <rFont val="Arial"/>
        <family val="2"/>
      </rPr>
      <t>BF4:</t>
    </r>
    <r>
      <rPr>
        <sz val="8"/>
        <rFont val="Arial"/>
        <family val="2"/>
      </rPr>
      <t xml:space="preserve"> System administrator will manage the user access according to contractual durations and level of
access profiles
System response: When user profile/ status change or when market participant contract expires revoke user
access (RR1.1)
</t>
    </r>
    <r>
      <rPr>
        <b/>
        <sz val="8"/>
        <rFont val="Arial"/>
        <family val="2"/>
      </rPr>
      <t>RR1.1:</t>
    </r>
    <r>
      <rPr>
        <sz val="8"/>
        <rFont val="Arial"/>
        <family val="2"/>
      </rPr>
      <t xml:space="preserve"> (BF4) Whenever a user business profile of employment status change or market participant contract expire revoke system access or notify administrator to revoke/ reinstate access?</t>
    </r>
  </si>
  <si>
    <r>
      <t>In your technical response select one of  the options below to describe how the required functionality could be delivered, and indicate via screenshots and / or indicate the relevant modules required to provide the functionality:
1. All s</t>
    </r>
    <r>
      <rPr>
        <b/>
        <sz val="8"/>
        <rFont val="Arial"/>
        <family val="2"/>
      </rPr>
      <t>tandard functionality</t>
    </r>
    <r>
      <rPr>
        <sz val="8"/>
        <rFont val="Arial"/>
        <family val="2"/>
      </rPr>
      <t xml:space="preserve"> or can be </t>
    </r>
    <r>
      <rPr>
        <b/>
        <sz val="8"/>
        <rFont val="Arial"/>
        <family val="2"/>
      </rPr>
      <t>delivered by configuration.</t>
    </r>
    <r>
      <rPr>
        <sz val="8"/>
        <rFont val="Arial"/>
        <family val="2"/>
      </rPr>
      <t xml:space="preserve">
2. Some functionality needs to be</t>
    </r>
    <r>
      <rPr>
        <b/>
        <sz val="8"/>
        <rFont val="Arial"/>
        <family val="2"/>
      </rPr>
      <t xml:space="preserve"> delivered by development.</t>
    </r>
    <r>
      <rPr>
        <sz val="8"/>
        <rFont val="Arial"/>
        <family val="2"/>
      </rPr>
      <t xml:space="preserve">
3. </t>
    </r>
    <r>
      <rPr>
        <b/>
        <sz val="8"/>
        <rFont val="Arial"/>
        <family val="2"/>
      </rPr>
      <t xml:space="preserve">It is not possible to provide this functionality.
</t>
    </r>
  </si>
  <si>
    <r>
      <t xml:space="preserve">1. All standard functionality </t>
    </r>
    <r>
      <rPr>
        <b/>
        <sz val="8"/>
        <rFont val="Arial"/>
        <family val="2"/>
      </rPr>
      <t xml:space="preserve">or </t>
    </r>
    <r>
      <rPr>
        <sz val="8"/>
        <rFont val="Arial"/>
        <family val="2"/>
      </rPr>
      <t>can be delivered by configuration.</t>
    </r>
  </si>
  <si>
    <t>2. Some functionality needs to be delivered by development.</t>
  </si>
  <si>
    <t>3.It is not possible to provide this functionality.</t>
  </si>
  <si>
    <t>Market
participant
applications</t>
  </si>
  <si>
    <r>
      <t xml:space="preserve">Eskom requires an Energy Trading solution that is able to:
Manage the market participant service / product offering applications per category by assessing and approving / rejecting the application. 
</t>
    </r>
    <r>
      <rPr>
        <b/>
        <sz val="8"/>
        <rFont val="Arial"/>
        <family val="2"/>
      </rPr>
      <t xml:space="preserve">BF1: </t>
    </r>
    <r>
      <rPr>
        <sz val="8"/>
        <rFont val="Arial"/>
        <family val="2"/>
      </rPr>
      <t xml:space="preserve">Updating schedule for various approved products and services
System response: Save updated schedule for products and services
</t>
    </r>
    <r>
      <rPr>
        <b/>
        <sz val="8"/>
        <rFont val="Arial"/>
        <family val="2"/>
      </rPr>
      <t xml:space="preserve">BF2: </t>
    </r>
    <r>
      <rPr>
        <sz val="8"/>
        <rFont val="Arial"/>
        <family val="2"/>
      </rPr>
      <t xml:space="preserve">Market participant submit application to provide products or services (Selection and price offered –
intelligent product service selection)
System response: Save application with unique ID number. (Version controlled)
</t>
    </r>
    <r>
      <rPr>
        <b/>
        <sz val="8"/>
        <rFont val="Arial"/>
        <family val="2"/>
      </rPr>
      <t>BF3:</t>
    </r>
    <r>
      <rPr>
        <sz val="8"/>
        <rFont val="Arial"/>
        <family val="2"/>
      </rPr>
      <t xml:space="preserve"> Evaluate application and save approval/ rejection with reasons of rejection. (EF1)
System response: Save approval/ rejection and notify market participant. (AF2)
Eskom requires:
</t>
    </r>
    <r>
      <rPr>
        <b/>
        <sz val="8"/>
        <rFont val="Arial"/>
        <family val="2"/>
      </rPr>
      <t>BF4:</t>
    </r>
    <r>
      <rPr>
        <sz val="8"/>
        <rFont val="Arial"/>
        <family val="2"/>
      </rPr>
      <t xml:space="preserve"> Updated commission and testing status for applied product and services.
System response: Save status and send for sign off (AF1)
</t>
    </r>
    <r>
      <rPr>
        <b/>
        <sz val="8"/>
        <rFont val="Arial"/>
        <family val="2"/>
      </rPr>
      <t xml:space="preserve">BF5: </t>
    </r>
    <r>
      <rPr>
        <sz val="8"/>
        <rFont val="Arial"/>
        <family val="2"/>
      </rPr>
      <t xml:space="preserve">Sign of contractual agreement electronically and keep records on CET system (audit trail-workflow)
(AF1)
System response: Save, send, and keep workflow audit trail for record purposes. (Minimum five-year data
storage with twelve-month archive options).
</t>
    </r>
    <r>
      <rPr>
        <b/>
        <sz val="8"/>
        <rFont val="Arial"/>
        <family val="2"/>
      </rPr>
      <t>BF6:</t>
    </r>
    <r>
      <rPr>
        <sz val="8"/>
        <rFont val="Arial"/>
        <family val="2"/>
      </rPr>
      <t xml:space="preserve"> Review contractual agreements (Compliance based/ Repetitive breaching of contract agreement)
System response: Notify relevant stakeholders when compliance breached (set margins)
</t>
    </r>
    <r>
      <rPr>
        <b/>
        <sz val="8"/>
        <rFont val="Arial"/>
        <family val="2"/>
      </rPr>
      <t>BF7:</t>
    </r>
    <r>
      <rPr>
        <sz val="8"/>
        <rFont val="Arial"/>
        <family val="2"/>
      </rPr>
      <t xml:space="preserve"> Update access profiles to enable market participants to access bidding functions.
System response: Notify affected users about profile updates
</t>
    </r>
    <r>
      <rPr>
        <b/>
        <sz val="8"/>
        <rFont val="Arial"/>
        <family val="2"/>
      </rPr>
      <t>AF1:</t>
    </r>
    <r>
      <rPr>
        <sz val="8"/>
        <rFont val="Arial"/>
        <family val="2"/>
      </rPr>
      <t xml:space="preserve"> (BF5) When sign off is not achieved within five workdays due to a dispute escalate one level up notifying relevant manager.
</t>
    </r>
    <r>
      <rPr>
        <b/>
        <sz val="8"/>
        <rFont val="Arial"/>
        <family val="2"/>
      </rPr>
      <t>AF2:</t>
    </r>
    <r>
      <rPr>
        <sz val="8"/>
        <rFont val="Arial"/>
        <family val="2"/>
      </rPr>
      <t xml:space="preserve"> (BF3) After approval of request kick of formal vendor application through commercial process as well. Register service/ product provider on Central Service provider data base for VAT purposes. Determine vendor classification type for flexible services provision.
</t>
    </r>
    <r>
      <rPr>
        <b/>
        <sz val="8"/>
        <rFont val="Arial"/>
        <family val="2"/>
      </rPr>
      <t>EF1:</t>
    </r>
    <r>
      <rPr>
        <sz val="8"/>
        <rFont val="Arial"/>
        <family val="2"/>
      </rPr>
      <t xml:space="preserve"> (BF3) When application is rejected notify market participant about rejection and reasons and allow opportunity to edit application and resubmit. (BF2) (RR2.1)
</t>
    </r>
    <r>
      <rPr>
        <b/>
        <sz val="8"/>
        <rFont val="Arial"/>
        <family val="2"/>
      </rPr>
      <t>RR2.1:</t>
    </r>
    <r>
      <rPr>
        <sz val="8"/>
        <rFont val="Arial"/>
        <family val="2"/>
      </rPr>
      <t xml:space="preserve"> (EF1) Allow market participant to edit application within twenty workdays before automatic system cancellation of the original application. Notify Market participant and Grid access management when application is cancelled.</t>
    </r>
  </si>
  <si>
    <t>Forecasting
and planning</t>
  </si>
  <si>
    <r>
      <t xml:space="preserve">Eskom requires an Energy Trading solution that is able to:
Perform energy forecasting and demand planning for Dx CET. Considering various variables: e.g. national, regional and local needs, planned / unplanned maintenance/ outages, network constraints and weather patterns.
</t>
    </r>
    <r>
      <rPr>
        <b/>
        <sz val="8"/>
        <rFont val="Arial"/>
        <family val="2"/>
      </rPr>
      <t>BF1:</t>
    </r>
    <r>
      <rPr>
        <sz val="8"/>
        <rFont val="Arial"/>
        <family val="2"/>
      </rPr>
      <t xml:space="preserve"> Establish the energy needs (Product and Price) (National, Regional and Local) by analyzing data from various systems e.g. comparing information from various systems e.g. DSO, Transmission System Operator (TSO), Meter Data Management System (MDMS), MV90, Historian, Outage Management System (OMS), Customer Care and Billing system (CC&amp;B). Also include frequencies of planning windows.
</t>
    </r>
    <r>
      <rPr>
        <b/>
        <sz val="8"/>
        <rFont val="Arial"/>
        <family val="2"/>
      </rPr>
      <t xml:space="preserve">BF2: </t>
    </r>
    <r>
      <rPr>
        <sz val="8"/>
        <rFont val="Arial"/>
        <family val="2"/>
      </rPr>
      <t xml:space="preserve">Consolidate and Prioritize needs according to National, Regional, Local and Emergencies
</t>
    </r>
    <r>
      <rPr>
        <b/>
        <sz val="8"/>
        <rFont val="Arial"/>
        <family val="2"/>
      </rPr>
      <t xml:space="preserve">BF3: </t>
    </r>
    <r>
      <rPr>
        <sz val="8"/>
        <rFont val="Arial"/>
        <family val="2"/>
      </rPr>
      <t xml:space="preserve">Planning to resolve needs (Types of inputs – Demand response/ Ancillary services/ Distributed Flexible services)
</t>
    </r>
    <r>
      <rPr>
        <b/>
        <sz val="8"/>
        <rFont val="Arial"/>
        <family val="2"/>
      </rPr>
      <t>BF4:</t>
    </r>
    <r>
      <rPr>
        <sz val="8"/>
        <rFont val="Arial"/>
        <family val="2"/>
      </rPr>
      <t xml:space="preserve"> Match and optimize the needs (Technical requirement/ Budget needs viability).
System Response: Display hierarchical list of planned forecasting needs (Geographical/ Hosting capacity). Categorized in Emergencies/ National/ Regional/ Local (Flexibility for manual override) 
</t>
    </r>
    <r>
      <rPr>
        <b/>
        <sz val="8"/>
        <rFont val="Arial"/>
        <family val="2"/>
      </rPr>
      <t xml:space="preserve">BF5: </t>
    </r>
    <r>
      <rPr>
        <sz val="8"/>
        <rFont val="Arial"/>
        <family val="2"/>
      </rPr>
      <t xml:space="preserve">Publish the forecasting planned to system to enable market participants to bid against forecasting planned with bid closure gates. (RR3.1)
System response: Published planned forecasting with bid closure gates schedule.
</t>
    </r>
    <r>
      <rPr>
        <b/>
        <sz val="8"/>
        <rFont val="Arial"/>
        <family val="2"/>
      </rPr>
      <t xml:space="preserve">RR3.1. </t>
    </r>
    <r>
      <rPr>
        <sz val="8"/>
        <rFont val="Arial"/>
        <family val="2"/>
      </rPr>
      <t>(BF5) Published Forecasting durations:
Short term = Day ahead
Medium term = Week ahead
Long term = Month ahead up to a year ahead.</t>
    </r>
  </si>
  <si>
    <t>Energy
procurement
(Bidding/
Transfer
pricing)</t>
  </si>
  <si>
    <r>
      <t xml:space="preserve">Eskom requires an Energy Trading solution that is able to:
Allow market participants access to the Dx CET system and submit bids for approved products and services according to published forecasted planning.
</t>
    </r>
    <r>
      <rPr>
        <b/>
        <sz val="8"/>
        <rFont val="Arial"/>
        <family val="2"/>
      </rPr>
      <t>BF1:</t>
    </r>
    <r>
      <rPr>
        <sz val="8"/>
        <rFont val="Arial"/>
        <family val="2"/>
      </rPr>
      <t xml:space="preserve"> Receive bids submitted by market participants
</t>
    </r>
    <r>
      <rPr>
        <b/>
        <sz val="8"/>
        <rFont val="Arial"/>
        <family val="2"/>
      </rPr>
      <t>BF2:</t>
    </r>
    <r>
      <rPr>
        <sz val="8"/>
        <rFont val="Arial"/>
        <family val="2"/>
      </rPr>
      <t xml:space="preserve"> System response: Evaluate and Rank bids received against products and services (BR4.1)
</t>
    </r>
    <r>
      <rPr>
        <b/>
        <sz val="8"/>
        <rFont val="Arial"/>
        <family val="2"/>
      </rPr>
      <t xml:space="preserve">BF3: </t>
    </r>
    <r>
      <rPr>
        <sz val="8"/>
        <rFont val="Arial"/>
        <family val="2"/>
      </rPr>
      <t xml:space="preserve">System response: Consolidate and Aggregate bids received (BR4.2)
</t>
    </r>
    <r>
      <rPr>
        <b/>
        <sz val="8"/>
        <rFont val="Arial"/>
        <family val="2"/>
      </rPr>
      <t xml:space="preserve">BF4: </t>
    </r>
    <r>
      <rPr>
        <sz val="8"/>
        <rFont val="Arial"/>
        <family val="2"/>
      </rPr>
      <t xml:space="preserve">Provide consolidated update to DSO upon bid gate closure
System Response: Save updated bidding register for DSO to action
</t>
    </r>
    <r>
      <rPr>
        <b/>
        <sz val="8"/>
        <rFont val="Arial"/>
        <family val="2"/>
      </rPr>
      <t xml:space="preserve">BF5: </t>
    </r>
    <r>
      <rPr>
        <sz val="8"/>
        <rFont val="Arial"/>
        <family val="2"/>
      </rPr>
      <t xml:space="preserve">Confirm Technical Clearance
System response: Save technical clearance confirmation
</t>
    </r>
    <r>
      <rPr>
        <b/>
        <sz val="8"/>
        <rFont val="Arial"/>
        <family val="2"/>
      </rPr>
      <t xml:space="preserve">BF6: </t>
    </r>
    <r>
      <rPr>
        <sz val="8"/>
        <rFont val="Arial"/>
        <family val="2"/>
      </rPr>
      <t>Notify successful bids market participants</t>
    </r>
  </si>
  <si>
    <t>Commercially
clearance of
bids received</t>
  </si>
  <si>
    <r>
      <t xml:space="preserve">Eskom requires an Energy Trading solution that is able to:
Analyse and clear bids received in the energy trading landscape determining the following: 
a. Impact of bids received against planned budgets, 
b. The products and services on offer and expenditure against them, improvement opportunities, pre-qualification requirements and interfacing, existing needs considering pricing/ markets and flexible services, settlements and defaulting reasons.
</t>
    </r>
    <r>
      <rPr>
        <b/>
        <sz val="8"/>
        <rFont val="Arial"/>
        <family val="2"/>
      </rPr>
      <t xml:space="preserve">BF1: </t>
    </r>
    <r>
      <rPr>
        <sz val="8"/>
        <rFont val="Arial"/>
        <family val="2"/>
      </rPr>
      <t xml:space="preserve">Analyse available bid forecasting impact on bottom line. (Compare actual versus budget)
System response: Display, save, print, and export various reports in different formats
</t>
    </r>
    <r>
      <rPr>
        <b/>
        <sz val="8"/>
        <rFont val="Arial"/>
        <family val="2"/>
      </rPr>
      <t xml:space="preserve">BF2: </t>
    </r>
    <r>
      <rPr>
        <sz val="8"/>
        <rFont val="Arial"/>
        <family val="2"/>
      </rPr>
      <t xml:space="preserve">Reviewing portfolio of products and services issued against objectives and budgets set
System response: Display, save, print, and export various reports in different formats
</t>
    </r>
    <r>
      <rPr>
        <b/>
        <sz val="8"/>
        <rFont val="Arial"/>
        <family val="2"/>
      </rPr>
      <t xml:space="preserve">BF3: </t>
    </r>
    <r>
      <rPr>
        <sz val="8"/>
        <rFont val="Arial"/>
        <family val="2"/>
      </rPr>
      <t xml:space="preserve">Continuous improvement analysis/ review- Analyse prequalification requirements and interfacing 
System Response: Display, save, print, and export various reports in different formats
</t>
    </r>
    <r>
      <rPr>
        <b/>
        <sz val="8"/>
        <rFont val="Arial"/>
        <family val="2"/>
      </rPr>
      <t xml:space="preserve">BF4: </t>
    </r>
    <r>
      <rPr>
        <sz val="8"/>
        <rFont val="Arial"/>
        <family val="2"/>
      </rPr>
      <t xml:space="preserve">Analysis of existing needs (pricing/ market/ flexible services)
System response: Display, save, print, and export various reports in different formats
</t>
    </r>
    <r>
      <rPr>
        <b/>
        <sz val="8"/>
        <rFont val="Arial"/>
        <family val="2"/>
      </rPr>
      <t xml:space="preserve">BF5: </t>
    </r>
    <r>
      <rPr>
        <sz val="8"/>
        <rFont val="Arial"/>
        <family val="2"/>
      </rPr>
      <t xml:space="preserve">Compare settlements against the current contract agreement
System response: Display, save, print, and export various reports in different formats
</t>
    </r>
    <r>
      <rPr>
        <b/>
        <sz val="8"/>
        <rFont val="Arial"/>
        <family val="2"/>
      </rPr>
      <t xml:space="preserve">BF6: </t>
    </r>
    <r>
      <rPr>
        <sz val="8"/>
        <rFont val="Arial"/>
        <family val="2"/>
      </rPr>
      <t>Update commercially accepted bids register 
System response: Save updated bids register</t>
    </r>
  </si>
  <si>
    <t>Manage
metering and
validation</t>
  </si>
  <si>
    <r>
      <t xml:space="preserve">Eskom requires an Energy Trading solution that is able to:
Consolidate and validate metering for all market participants according their respective contractual agreements in preparation to settle account agreements.
</t>
    </r>
    <r>
      <rPr>
        <b/>
        <sz val="8"/>
        <rFont val="Arial"/>
        <family val="2"/>
      </rPr>
      <t>BF1.</t>
    </r>
    <r>
      <rPr>
        <sz val="8"/>
        <rFont val="Arial"/>
        <family val="2"/>
      </rPr>
      <t xml:space="preserve"> Receive contracted metering data 
System response: Display data 
</t>
    </r>
    <r>
      <rPr>
        <b/>
        <sz val="8"/>
        <rFont val="Arial"/>
        <family val="2"/>
      </rPr>
      <t>BF2.</t>
    </r>
    <r>
      <rPr>
        <sz val="8"/>
        <rFont val="Arial"/>
        <family val="2"/>
      </rPr>
      <t xml:space="preserve"> Validate actual versus contracted energy 
System response: Display actual versus contracted and differences
</t>
    </r>
    <r>
      <rPr>
        <b/>
        <sz val="8"/>
        <rFont val="Arial"/>
        <family val="2"/>
      </rPr>
      <t xml:space="preserve">BF3. </t>
    </r>
    <r>
      <rPr>
        <sz val="8"/>
        <rFont val="Arial"/>
        <family val="2"/>
      </rPr>
      <t xml:space="preserve">Manage exceptions (AF1)
System response: Save updated corrections
</t>
    </r>
    <r>
      <rPr>
        <b/>
        <sz val="8"/>
        <rFont val="Arial"/>
        <family val="2"/>
      </rPr>
      <t xml:space="preserve">BF4. </t>
    </r>
    <r>
      <rPr>
        <sz val="8"/>
        <rFont val="Arial"/>
        <family val="2"/>
      </rPr>
      <t>Validation approval 
System response: Save approved validations</t>
    </r>
  </si>
  <si>
    <t>Manage
energy
settlements
and reporting</t>
  </si>
  <si>
    <r>
      <t xml:space="preserve">Eskom requires an Energy Trading solution that is able to:
Compute financial energy settlements. Validate and manage trade reports, adjustments, exceptions and notifications to market participants to provide accurate invoicing.
</t>
    </r>
    <r>
      <rPr>
        <b/>
        <sz val="8"/>
        <rFont val="Arial"/>
        <family val="2"/>
      </rPr>
      <t>BF1.</t>
    </r>
    <r>
      <rPr>
        <sz val="8"/>
        <rFont val="Arial"/>
        <family val="2"/>
      </rPr>
      <t xml:space="preserve"> Compute financial settlements based on approved data
System response: Save updated settlements data
</t>
    </r>
    <r>
      <rPr>
        <b/>
        <sz val="8"/>
        <rFont val="Arial"/>
        <family val="2"/>
      </rPr>
      <t xml:space="preserve">BF2. </t>
    </r>
    <r>
      <rPr>
        <sz val="8"/>
        <rFont val="Arial"/>
        <family val="2"/>
      </rPr>
      <t xml:space="preserve">Receive trade reports 
System response: Save trade reports
</t>
    </r>
    <r>
      <rPr>
        <b/>
        <sz val="8"/>
        <rFont val="Arial"/>
        <family val="2"/>
      </rPr>
      <t xml:space="preserve">BF3. </t>
    </r>
    <r>
      <rPr>
        <sz val="8"/>
        <rFont val="Arial"/>
        <family val="2"/>
      </rPr>
      <t xml:space="preserve">Validate trade reports 
</t>
    </r>
    <r>
      <rPr>
        <b/>
        <sz val="8"/>
        <rFont val="Arial"/>
        <family val="2"/>
      </rPr>
      <t xml:space="preserve">BF4. </t>
    </r>
    <r>
      <rPr>
        <sz val="8"/>
        <rFont val="Arial"/>
        <family val="2"/>
      </rPr>
      <t xml:space="preserve">Manage adjustments/ exceptions
System response: Update and save adjustments/ exceptions as a settlement statement.
</t>
    </r>
    <r>
      <rPr>
        <b/>
        <sz val="8"/>
        <rFont val="Arial"/>
        <family val="2"/>
      </rPr>
      <t xml:space="preserve">BF5. </t>
    </r>
    <r>
      <rPr>
        <sz val="8"/>
        <rFont val="Arial"/>
        <family val="2"/>
      </rPr>
      <t>Notify market participants to provide invoices 
System response: Email/ Cell messages to market participant to provide invoices</t>
    </r>
  </si>
  <si>
    <t>Manage
settlement
payments</t>
  </si>
  <si>
    <r>
      <t xml:space="preserve">Eskom requires an Energy Trading solution that is able to:
Manage the consolidated settlement payments process until proof of payment (remittance) received by market participants. Updated data will be required for future budgeting and improvement of the processes.
</t>
    </r>
    <r>
      <rPr>
        <b/>
        <sz val="8"/>
        <rFont val="Arial"/>
        <family val="2"/>
      </rPr>
      <t xml:space="preserve">BF1: </t>
    </r>
    <r>
      <rPr>
        <sz val="8"/>
        <rFont val="Arial"/>
        <family val="2"/>
      </rPr>
      <t xml:space="preserve">Supplier/Eskom user emails a valid Tax invoice to Accounts Payable (AP).
</t>
    </r>
    <r>
      <rPr>
        <b/>
        <sz val="8"/>
        <rFont val="Arial"/>
        <family val="2"/>
      </rPr>
      <t xml:space="preserve">BF2: </t>
    </r>
    <r>
      <rPr>
        <sz val="8"/>
        <rFont val="Arial"/>
        <family val="2"/>
      </rPr>
      <t xml:space="preserve">AP receives and checks the invoice for Tax validity and Purchase Order (PO) validity.
System response: Save invoice as attachment to the relevant system transaction
</t>
    </r>
    <r>
      <rPr>
        <b/>
        <sz val="8"/>
        <rFont val="Arial"/>
        <family val="2"/>
      </rPr>
      <t xml:space="preserve">BF3: </t>
    </r>
    <r>
      <rPr>
        <sz val="8"/>
        <rFont val="Arial"/>
        <family val="2"/>
      </rPr>
      <t xml:space="preserve">AP then processes the invoice if Service entry/ Goods Receipt (GR) is done or parks the invoice if GR is not done (AF1)
System Response: Validate and save invoice as attachment to the service entry. Link to GR.
</t>
    </r>
    <r>
      <rPr>
        <b/>
        <sz val="8"/>
        <rFont val="Arial"/>
        <family val="2"/>
      </rPr>
      <t>BF4:</t>
    </r>
    <r>
      <rPr>
        <sz val="8"/>
        <rFont val="Arial"/>
        <family val="2"/>
      </rPr>
      <t xml:space="preserve"> Reconcile account holder account with invoice and determine balance for settlement (credit/ debt management)?
System Response: Update and save settlement statement 
</t>
    </r>
    <r>
      <rPr>
        <b/>
        <sz val="8"/>
        <rFont val="Arial"/>
        <family val="2"/>
      </rPr>
      <t>BF5:</t>
    </r>
    <r>
      <rPr>
        <sz val="8"/>
        <rFont val="Arial"/>
        <family val="2"/>
      </rPr>
      <t xml:space="preserve"> Invoice is paid as per the payment terms on the PO counted from the date of submission of the invoice.
System Response: Post settlement accounts for approval and next payment run. Send remittance notification to market participants.
</t>
    </r>
    <r>
      <rPr>
        <b/>
        <sz val="8"/>
        <rFont val="Arial"/>
        <family val="2"/>
      </rPr>
      <t>AF1:</t>
    </r>
    <r>
      <rPr>
        <sz val="8"/>
        <rFont val="Arial"/>
        <family val="2"/>
      </rPr>
      <t xml:space="preserve"> (BF3) When Good/ Service receipt is not done park invoice until GR is done then return to BF3.</t>
    </r>
  </si>
  <si>
    <t>Eskom Group IT:  Technical Evaluation Criteria
Category: Integration</t>
  </si>
  <si>
    <t>I1</t>
  </si>
  <si>
    <t xml:space="preserve">Eskom requires the vendor to have previous experience in implementation of Oracle Fusion integration solutions in an enterprise
</t>
  </si>
  <si>
    <t>Please provide references as evidence for the projects &amp; sites where you have implemented Oracle Fusion integration solutions in an enterprise and pattern your previous experience covers.</t>
  </si>
  <si>
    <t>Experience working on Oracle Fusion implementation projects</t>
  </si>
  <si>
    <t>No experience working on Oracle Fusion implementation projects</t>
  </si>
  <si>
    <t>I2</t>
  </si>
  <si>
    <t xml:space="preserve">Eskom requires the vendor to have previous experience in implementation  of IBM DataPower integration solutions in an enterprise
</t>
  </si>
  <si>
    <t>Please provide references as evidence for the projects &amp; sites where you have implemented  IBM DataPower integration solutions in an enterprise and pattern your previous experience covers.</t>
  </si>
  <si>
    <t>Experience working on Data power implementation projects</t>
  </si>
  <si>
    <t>No experience working on Data power implementation projects</t>
  </si>
  <si>
    <t>I3</t>
  </si>
  <si>
    <t xml:space="preserve">Eskom requires the integration resources to be certified in and have experience working with Oracle Fusion 12C. At least 1 senior certified resource must have working experience in the  Oracle Fusion 12C
</t>
  </si>
  <si>
    <t xml:space="preserve">Provide CV's of the integration resources and their respective Oracle Fusion 12C certifications. </t>
  </si>
  <si>
    <r>
      <t xml:space="preserve">Senior resource with more than </t>
    </r>
    <r>
      <rPr>
        <b/>
        <sz val="8"/>
        <rFont val="Arial"/>
        <family val="2"/>
      </rPr>
      <t>2 years</t>
    </r>
    <r>
      <rPr>
        <sz val="8"/>
        <rFont val="Arial"/>
        <family val="2"/>
      </rPr>
      <t xml:space="preserve"> experience and certification</t>
    </r>
  </si>
  <si>
    <r>
      <t xml:space="preserve">Senior resource with a more than </t>
    </r>
    <r>
      <rPr>
        <b/>
        <sz val="8"/>
        <rFont val="Arial"/>
        <family val="2"/>
      </rPr>
      <t>2 years</t>
    </r>
    <r>
      <rPr>
        <sz val="8"/>
        <rFont val="Arial"/>
        <family val="2"/>
      </rPr>
      <t xml:space="preserve"> experience but no certification.</t>
    </r>
  </si>
  <si>
    <r>
      <t>Senior resource with less than</t>
    </r>
    <r>
      <rPr>
        <b/>
        <sz val="8"/>
        <rFont val="Arial"/>
        <family val="2"/>
      </rPr>
      <t xml:space="preserve"> 2 years</t>
    </r>
    <r>
      <rPr>
        <sz val="8"/>
        <rFont val="Arial"/>
        <family val="2"/>
      </rPr>
      <t xml:space="preserve"> experience, irrespective of certification.</t>
    </r>
  </si>
  <si>
    <t>I4</t>
  </si>
  <si>
    <t xml:space="preserve">Eskom requires the integration resources  to be certified in and have experience working with IBM Data Power. At least 1 senior certified resource must have working experience in the IBM Data Power.
</t>
  </si>
  <si>
    <t xml:space="preserve">Provide CV's of the integration resources and their respective IBM Data Power certifications. </t>
  </si>
  <si>
    <r>
      <t xml:space="preserve">Senior resource with more than </t>
    </r>
    <r>
      <rPr>
        <b/>
        <sz val="8"/>
        <rFont val="Arial"/>
        <family val="2"/>
      </rPr>
      <t>2 years</t>
    </r>
    <r>
      <rPr>
        <sz val="8"/>
        <rFont val="Arial"/>
        <family val="2"/>
      </rPr>
      <t xml:space="preserve"> experience but no certification.</t>
    </r>
  </si>
  <si>
    <t>I5</t>
  </si>
  <si>
    <t xml:space="preserve">Eskom requires the vendor to have previous experience in carrying out analysis, design, development, testing and deployment of Oracle Fusion and IBM DataPower integration services
</t>
  </si>
  <si>
    <t>Provide proof that you as vendor have implemented a solution where the following items were delivered:
analysis, design, development, testing and deployment of integration solutions. 
Provide references.</t>
  </si>
  <si>
    <r>
      <t xml:space="preserve">Experience in analysis, design, development, testing and deployment of Oracle Fusion </t>
    </r>
    <r>
      <rPr>
        <b/>
        <u/>
        <sz val="8"/>
        <rFont val="Arial"/>
        <family val="2"/>
      </rPr>
      <t>and</t>
    </r>
    <r>
      <rPr>
        <sz val="8"/>
        <rFont val="Arial"/>
        <family val="2"/>
      </rPr>
      <t xml:space="preserve"> Data Power</t>
    </r>
  </si>
  <si>
    <r>
      <t xml:space="preserve">Experience in analysis, design, development, testing and deployment of Oracle Fusion </t>
    </r>
    <r>
      <rPr>
        <b/>
        <u/>
        <sz val="8"/>
        <rFont val="Arial"/>
        <family val="2"/>
      </rPr>
      <t>OR</t>
    </r>
    <r>
      <rPr>
        <sz val="8"/>
        <rFont val="Arial"/>
        <family val="2"/>
      </rPr>
      <t xml:space="preserve"> Data Power</t>
    </r>
  </si>
  <si>
    <t>No experience in either</t>
  </si>
  <si>
    <t>I6</t>
  </si>
  <si>
    <t xml:space="preserve">Eskom requires the vendor resources to have previous experience in carrying out analysis, design, development, testing and deployment of Oracle Fusion and IBM DataPower integration services
</t>
  </si>
  <si>
    <t>Provide proof that the vendor resources have implemented a solution where the following items were delivered: analysis, design, develop, test and deploy integration solutions. Provide references.</t>
  </si>
  <si>
    <r>
      <t xml:space="preserve">Experience in  analysis, design, development, testing and deployment of Oracle Fusion </t>
    </r>
    <r>
      <rPr>
        <b/>
        <u/>
        <sz val="8"/>
        <rFont val="Arial"/>
        <family val="2"/>
      </rPr>
      <t>and</t>
    </r>
    <r>
      <rPr>
        <sz val="8"/>
        <rFont val="Arial"/>
        <family val="2"/>
      </rPr>
      <t xml:space="preserve"> Data Power</t>
    </r>
  </si>
  <si>
    <r>
      <t xml:space="preserve">Experience in  analysis, design, development, testing and deployment of Oracle Fusion </t>
    </r>
    <r>
      <rPr>
        <b/>
        <u/>
        <sz val="8"/>
        <rFont val="Arial"/>
        <family val="2"/>
      </rPr>
      <t>OR</t>
    </r>
    <r>
      <rPr>
        <sz val="8"/>
        <rFont val="Arial"/>
        <family val="2"/>
      </rPr>
      <t xml:space="preserve"> Data Power</t>
    </r>
  </si>
  <si>
    <t>I7</t>
  </si>
  <si>
    <r>
      <t xml:space="preserve">Eskom requires the vendor to have previous experience  in the implementation of integration solutions where the product has the capability to expose services to applications for the following Middleware Technologies:
</t>
    </r>
    <r>
      <rPr>
        <b/>
        <sz val="8"/>
        <rFont val="Arial"/>
        <family val="2"/>
      </rPr>
      <t xml:space="preserve">1. Oracle Fusion 
2. IBM DataPower
</t>
    </r>
  </si>
  <si>
    <t>Provide proof that you have implemented a solution where  the product has the capability to expose services to applications. Provide references.</t>
  </si>
  <si>
    <t>Experience in  integration solutions where the product has the capability to expose services to applications for the 2 Middleware technologies.</t>
  </si>
  <si>
    <t>Experience in integration solutions where the product has the capability to expose services to applications for 1 Middleware technology</t>
  </si>
  <si>
    <t>I8</t>
  </si>
  <si>
    <t>Eskom requires the source application to send a Common Information Message (CIM) structure.</t>
  </si>
  <si>
    <r>
      <rPr>
        <sz val="8"/>
        <color rgb="FF000000"/>
        <rFont val="Arial"/>
        <family val="2"/>
      </rPr>
      <t xml:space="preserve">Provide the capability of the application message structure.
</t>
    </r>
    <r>
      <rPr>
        <u/>
        <sz val="8"/>
        <color rgb="FF000000"/>
        <rFont val="Arial"/>
        <family val="2"/>
      </rPr>
      <t xml:space="preserve">Respond to the detail below:
</t>
    </r>
    <r>
      <rPr>
        <sz val="8"/>
        <color rgb="FF000000"/>
        <rFont val="Arial"/>
        <family val="2"/>
      </rPr>
      <t xml:space="preserve">What is the structure of the message that will be published and subscribed? 
- Can the solution handle a Integration a Common Information Message (CIM)? 
or 
- Can the solution </t>
    </r>
    <r>
      <rPr>
        <u/>
        <sz val="8"/>
        <color rgb="FF000000"/>
        <rFont val="Arial"/>
        <family val="2"/>
      </rPr>
      <t>only send a proprietary message structure</t>
    </r>
    <r>
      <rPr>
        <sz val="8"/>
        <color rgb="FF000000"/>
        <rFont val="Arial"/>
        <family val="2"/>
      </rPr>
      <t>? (Proprietary – Applications own business service message structure)?</t>
    </r>
  </si>
  <si>
    <t>Source application can send a common information message (CIM) structure</t>
  </si>
  <si>
    <t>The source application can send only a proprietary message structure</t>
  </si>
  <si>
    <t>Neither of the above</t>
  </si>
  <si>
    <t>I9</t>
  </si>
  <si>
    <t xml:space="preserve">Eskom requires a source application with robust channel security.
</t>
  </si>
  <si>
    <t>In your response, indicate the type of channel security capability i.e. One-way or Two-way certificate (SSL/TLS) to secure the channel.</t>
  </si>
  <si>
    <t>Source application supports a secure channel of communication</t>
  </si>
  <si>
    <t>Source application supports no secure channel of communication.</t>
  </si>
  <si>
    <t>I10</t>
  </si>
  <si>
    <t xml:space="preserve">Eskom requires the source application to provide Authentication capability.
</t>
  </si>
  <si>
    <t>In your response, indicate the authentication capability for web services, database and SFTP.</t>
  </si>
  <si>
    <t>Source application can apply authentication mechanisms.</t>
  </si>
  <si>
    <t>Source application cannot apply authentication mechanisms.</t>
  </si>
  <si>
    <t>I11</t>
  </si>
  <si>
    <t>Eskom requires the vendor to provide a resource that has experience in integration message modelling including the following:
• Analysis of message requirements. 
• Model or update integration message which follow a Common information model. 
• Create payloads and envelopes. 
• Generate xsd, message model and model dictionary.</t>
  </si>
  <si>
    <t>In your response, provide references as proof of your experience in the integration message modelling including the following:
• Analysis of message requirements. 
• Model or update integration message which follow a Common information model. 
• Create payloads and envelopes. 
• Generate xsd, message model and model dictionary.</t>
  </si>
  <si>
    <t>Experience in integration message modelling</t>
  </si>
  <si>
    <t>No experience in integration message modelling</t>
  </si>
  <si>
    <t>I12</t>
  </si>
  <si>
    <t xml:space="preserve">Eskom requires the vendor to provide clarity on the proposed solution capability with regards to responses from the Eskom Integration Bus
</t>
  </si>
  <si>
    <t>In your response indicate if the source application can accept a full service response or  the Source can only handle HTTP/SOAP responses, if neither of the above state the authentication capability.</t>
  </si>
  <si>
    <t>The source application can accept full service response</t>
  </si>
  <si>
    <t>The source application can accept only HTTP/SOAP response</t>
  </si>
  <si>
    <t>The source application can accept neither of the above</t>
  </si>
  <si>
    <t>I13</t>
  </si>
  <si>
    <t>Eskom requires the source application to have the capability to retry a message if there is a Technical error (are connection errors in integration or the target is unavailable) and handle a business error.</t>
  </si>
  <si>
    <t xml:space="preserve">Provide Error Handling capability
Source Application can distinguish between Technical and Business error, and handle each one in a separate manor
 IF Database, Have a separate column in the table where errors can be written, and column for a flag (Successful, technical error, business error) </t>
  </si>
  <si>
    <t>The source application has retry capability and can identify if the error is a Technical or Business error.</t>
  </si>
  <si>
    <r>
      <t xml:space="preserve">The source application has retry capability but  </t>
    </r>
    <r>
      <rPr>
        <b/>
        <sz val="8"/>
        <rFont val="Arial"/>
        <family val="2"/>
      </rPr>
      <t>cannot</t>
    </r>
    <r>
      <rPr>
        <sz val="8"/>
        <rFont val="Arial"/>
        <family val="2"/>
      </rPr>
      <t xml:space="preserve"> identify if the error is a Technical or Business error.</t>
    </r>
  </si>
  <si>
    <t>The source application cannot cater for any re-tries</t>
  </si>
  <si>
    <t>I14</t>
  </si>
  <si>
    <t xml:space="preserve">Eskom requires the vendor to have previous experience formulating or updating Diagrams and Process in Sparx Enterprise Architecture </t>
  </si>
  <si>
    <t>Provide proof of experience and references that you have experience in Sparx Enterprise Architecture software</t>
  </si>
  <si>
    <t>Experience in Sparx Enterprise Architecture</t>
  </si>
  <si>
    <t>No experience in Sparx Enterprise Architecture</t>
  </si>
  <si>
    <t>I15</t>
  </si>
  <si>
    <t xml:space="preserve">Eskom requires the vendor to have previous experience in using Altova XMLSpy </t>
  </si>
  <si>
    <t>Provide proof of experience and references that you have experience in Altova XML Spy software</t>
  </si>
  <si>
    <t>Experience in Altova XML Spy software</t>
  </si>
  <si>
    <t>No experience in Altova XML Spy software</t>
  </si>
  <si>
    <t>I16</t>
  </si>
  <si>
    <t>Eskom requires the vendor to confirm the list of integration services that need to be built is clearly understood</t>
  </si>
  <si>
    <t>The solution should be able to integrate to applications for purposes of actioning or addressing queries via the defined integration technology Oracle Fusion and IBM DataPower.
(As defined in the architectural integration high-level requirements).
Indicate that you clearly understand that the Awarded Vendor will be responsible for the Analysis, Design, Development and testing of the Defined Integration Services.</t>
  </si>
  <si>
    <t>The vendor fully understands the integration requirements and that it is the vendor's responsibility to deliver the integration scope.</t>
  </si>
  <si>
    <t>The vendor does not understand that the Integration scope is their responsibility.</t>
  </si>
  <si>
    <t>The solution should be able to integrate to applications for purposes of actioning or addressing queries via the defined integration technology Oracle Fusion and IBM DataPower.
(As defined in the architectural integration high-level requirements).
Please provide your responsibility in this solution with regards to the  the Integration services</t>
  </si>
  <si>
    <t>Eskom Group IT:  Technical Evaluation Criteria
Category: Testing</t>
  </si>
  <si>
    <t>T1</t>
  </si>
  <si>
    <r>
      <t xml:space="preserve">Eskom requires the vendor to have </t>
    </r>
    <r>
      <rPr>
        <b/>
        <sz val="8"/>
        <rFont val="Arial"/>
        <family val="2"/>
      </rPr>
      <t>previous involvement in the end to end testing</t>
    </r>
    <r>
      <rPr>
        <sz val="8"/>
        <rFont val="Arial"/>
        <family val="2"/>
      </rPr>
      <t xml:space="preserve"> of Customer Care and Billing System, and methodologies used
</t>
    </r>
  </si>
  <si>
    <t xml:space="preserve">In your technical response list names of the clients with their contact details, where your company was involved in the end to end testing of Customer Care and Billing System and a describe of your responsibilities. </t>
  </si>
  <si>
    <t>Vendor has indicated they have experience testing of Customer Care and Billing System</t>
  </si>
  <si>
    <t>Vendor has indicated experience but not in a similar system</t>
  </si>
  <si>
    <t>No experience</t>
  </si>
  <si>
    <t>T2</t>
  </si>
  <si>
    <r>
      <t xml:space="preserve">Eskom requires that </t>
    </r>
    <r>
      <rPr>
        <b/>
        <sz val="8"/>
        <rFont val="Arial"/>
        <family val="2"/>
      </rPr>
      <t>sufficient dedicated testers</t>
    </r>
    <r>
      <rPr>
        <sz val="8"/>
        <rFont val="Arial"/>
        <family val="2"/>
      </rPr>
      <t xml:space="preserve"> are allocated the project, the testers must be </t>
    </r>
    <r>
      <rPr>
        <b/>
        <sz val="8"/>
        <rFont val="Arial"/>
        <family val="2"/>
      </rPr>
      <t>independent of the development team</t>
    </r>
    <r>
      <rPr>
        <sz val="8"/>
        <rFont val="Arial"/>
        <family val="2"/>
      </rPr>
      <t xml:space="preserve">.
The following experienced roles must be filled a:Test Manager, Test analyst ,Tester and  Performance tester. 
</t>
    </r>
  </si>
  <si>
    <t>In your technical response provide CV's indicating the relevant experience for the resources who will fill the following roles:
Test Manager, Test analyst ,Tester and  Performance tester</t>
  </si>
  <si>
    <t>Test manager has more than 5 years of relevant experience</t>
  </si>
  <si>
    <t>Test manager has more 2-5 years of relevant experience</t>
  </si>
  <si>
    <t>Test manager has less than 2 years of relevant experience</t>
  </si>
  <si>
    <t>T3</t>
  </si>
  <si>
    <r>
      <t xml:space="preserve">Eskom requires the appointed testing resources to have the following experience using Eskom testing tools:
</t>
    </r>
    <r>
      <rPr>
        <b/>
        <sz val="8"/>
        <rFont val="Arial"/>
        <family val="2"/>
      </rPr>
      <t xml:space="preserve">Test Manager, Test analyst  and Tester </t>
    </r>
    <r>
      <rPr>
        <sz val="8"/>
        <rFont val="Arial"/>
        <family val="2"/>
      </rPr>
      <t xml:space="preserve">must have at least 2 years experience using Microfocus Application Lifecycle Management (ALM)
</t>
    </r>
    <r>
      <rPr>
        <b/>
        <sz val="8"/>
        <rFont val="Arial"/>
        <family val="2"/>
      </rPr>
      <t>Performance Tester</t>
    </r>
    <r>
      <rPr>
        <sz val="8"/>
        <rFont val="Arial"/>
        <family val="2"/>
      </rPr>
      <t xml:space="preserve"> must have at least 2 years of experience using Load Runner</t>
    </r>
  </si>
  <si>
    <t>In your technical response provide four CV's indicating the relevant experience for the four required testing resources, showing their experience with Eskom's testing tools.
Test team must include: Test Manager, Test analyst ,Tester and  Performance tester</t>
  </si>
  <si>
    <t>All four resources have the minimum required experience.</t>
  </si>
  <si>
    <t>Three of the four resources have the required experience</t>
  </si>
  <si>
    <t>Two or less of the resources have the required experience</t>
  </si>
  <si>
    <t>T4</t>
  </si>
  <si>
    <t xml:space="preserve">Eskom requires the vendor to have a documented testing approach which is informed by a testing methodology specific to the project. E.g. Agile/Waterfall etc... 
</t>
  </si>
  <si>
    <t>In your technical response provide your companies standard testing approach to Oracle CC&amp;B upgrades and detail the methodology behind it.</t>
  </si>
  <si>
    <t>Complete approach provided with reference to a methodology</t>
  </si>
  <si>
    <t>Approach provided with no methodology</t>
  </si>
  <si>
    <t>No approach provided.</t>
  </si>
  <si>
    <t>T5</t>
  </si>
  <si>
    <r>
      <t xml:space="preserve">Eskom requires the vendors resources in the roles below have the required </t>
    </r>
    <r>
      <rPr>
        <b/>
        <sz val="8"/>
        <rFont val="Arial"/>
        <family val="2"/>
      </rPr>
      <t>ISTQB</t>
    </r>
    <r>
      <rPr>
        <sz val="8"/>
        <rFont val="Arial"/>
        <family val="2"/>
      </rPr>
      <t xml:space="preserve">(International Software Testing Qualifications Board) </t>
    </r>
    <r>
      <rPr>
        <b/>
        <sz val="8"/>
        <rFont val="Arial"/>
        <family val="2"/>
      </rPr>
      <t>qualifications accredited by SATQB</t>
    </r>
    <r>
      <rPr>
        <sz val="8"/>
        <rFont val="Arial"/>
        <family val="2"/>
      </rPr>
      <t xml:space="preserve">(Southern African Software Testing Qualifications Board).  
Required resource roles: Test Manager, Test analyst, Tester and  Performance tester.
</t>
    </r>
  </si>
  <si>
    <r>
      <t xml:space="preserve">In your technical response provide CV's of the resources below, together with </t>
    </r>
    <r>
      <rPr>
        <b/>
        <sz val="8"/>
        <rFont val="Arial"/>
        <family val="2"/>
      </rPr>
      <t>respective copies of acquired ISTQB certificates.</t>
    </r>
    <r>
      <rPr>
        <sz val="8"/>
        <color rgb="FFFF0000"/>
        <rFont val="Arial"/>
        <family val="2"/>
      </rPr>
      <t xml:space="preserve">
</t>
    </r>
    <r>
      <rPr>
        <sz val="8"/>
        <rFont val="Arial"/>
        <family val="2"/>
      </rPr>
      <t>Required resource roles: Test Manager, Test analyst ,Tester and  Performance tester.</t>
    </r>
  </si>
  <si>
    <t>The proposed resources in all 4 roles have ISTQB certificates</t>
  </si>
  <si>
    <t>The proposed resources in 3 of the 4 roles have ISTQB certificates</t>
  </si>
  <si>
    <t>The proposed resources in all 2 of the 4 roles have ISTQB certificates</t>
  </si>
  <si>
    <t>1 or less resources have ISTQB certificates</t>
  </si>
  <si>
    <t>T6</t>
  </si>
  <si>
    <t xml:space="preserve">Eskom requires 114 hits per second for a 500 concurrent user test, to confirm system performance is at acceptable levels. </t>
  </si>
  <si>
    <t>Please provide redacted performance testing results from any of your clients' Oracle WebLogic managed servers .The test results must show the Average Hits per second for a 500 concurrent user test?</t>
  </si>
  <si>
    <t>114 Hits per Second or more</t>
  </si>
  <si>
    <t>less than 114 Hits per Second</t>
  </si>
  <si>
    <t>No report provided</t>
  </si>
  <si>
    <t>T7</t>
  </si>
  <si>
    <t xml:space="preserve">Eskom requires that the System should still be able to handle 500 concurrent users after the upgrade.
</t>
  </si>
  <si>
    <t>Please provide redacted performance testing results from any of your clients' Oracle WebLogic managed servers .The test results must show the number of concurrent users.</t>
  </si>
  <si>
    <t>More than 500 concurrent users</t>
  </si>
  <si>
    <t>Less than 500 concurrent users</t>
  </si>
  <si>
    <t>T8</t>
  </si>
  <si>
    <t xml:space="preserve">Eskom requires that the System acceptable results should be able to indicate the 90th Percentile Transaction response time of less than 3 seconds for a 500 concurrent user test.
</t>
  </si>
  <si>
    <t xml:space="preserve">Please provide redacted performance testing results from any of your clients' Oracle WebLogic managed servers .The test results must show what is the 90th Percentile Transaction response time for a 500 concurrent user test?
</t>
  </si>
  <si>
    <t>Less than 3 seconds response time</t>
  </si>
  <si>
    <t>More that 3 seconds response time</t>
  </si>
  <si>
    <t>T9</t>
  </si>
  <si>
    <t xml:space="preserve">After implementation of the upgrade Eskom requires the system to average 142000 throughput bytes or more per second for a 500 concurrent user test.
</t>
  </si>
  <si>
    <t xml:space="preserve">Please provide redacted performance testing results from any of your clients' Oracle WebLogic managed servers .The test results must show  the average throughput bytes per second for a 500 concurrent user test?
</t>
  </si>
  <si>
    <t>Average Throughput of 142000 bytes or more per second for a 500 concurrent user test</t>
  </si>
  <si>
    <t>Less than 142000 Average Throughput bytes per second for a 500 concurrent user test</t>
  </si>
  <si>
    <t>Eskom Group IT:  Technical Evaluation Criteria
Category: Security</t>
  </si>
  <si>
    <t>S1</t>
  </si>
  <si>
    <t>S2</t>
  </si>
  <si>
    <t>S3</t>
  </si>
  <si>
    <t>S4</t>
  </si>
  <si>
    <t>S5</t>
  </si>
  <si>
    <t>S7</t>
  </si>
  <si>
    <t>S9</t>
  </si>
  <si>
    <t>S12</t>
  </si>
  <si>
    <t>Eskom Group IT:  Technical Evaluation Criteria
Category: Architecture</t>
  </si>
  <si>
    <t>A1</t>
  </si>
  <si>
    <t>Modern IT and architectural approaches such as a composable and modular architecture, which in turn uses microservices and containerisation etc must underly the system architecture, to ensure updates and new configurations / services could be deployed independently and with minimal disruption to the whole solution ecosystem.</t>
  </si>
  <si>
    <r>
      <t>Provide the design of how the various microservices make up the solution functionality - preferably mapped to a higher level functional decomposition.</t>
    </r>
    <r>
      <rPr>
        <b/>
        <sz val="8"/>
        <rFont val="Arial"/>
        <family val="2"/>
      </rPr>
      <t xml:space="preserve">
</t>
    </r>
  </si>
  <si>
    <r>
      <t xml:space="preserve">Microservice Design which </t>
    </r>
    <r>
      <rPr>
        <b/>
        <sz val="8"/>
        <rFont val="Arial"/>
        <family val="2"/>
      </rPr>
      <t>includes</t>
    </r>
    <r>
      <rPr>
        <sz val="8"/>
        <rFont val="Arial"/>
        <family val="2"/>
      </rPr>
      <t xml:space="preserve"> a mapping to higher level functional decomposition provided.</t>
    </r>
  </si>
  <si>
    <r>
      <t xml:space="preserve">Microservice Design which </t>
    </r>
    <r>
      <rPr>
        <b/>
        <sz val="8"/>
        <rFont val="Arial"/>
        <family val="2"/>
      </rPr>
      <t>excludes</t>
    </r>
    <r>
      <rPr>
        <sz val="8"/>
        <rFont val="Arial"/>
        <family val="2"/>
      </rPr>
      <t xml:space="preserve"> a mapping to higher level functional decomposition provided.</t>
    </r>
  </si>
  <si>
    <t>No relevant information provided.</t>
  </si>
  <si>
    <t>A2</t>
  </si>
  <si>
    <r>
      <t xml:space="preserve">Eskom needs to understand how the solution is provided in terms of the </t>
    </r>
    <r>
      <rPr>
        <b/>
        <sz val="8"/>
        <rFont val="Arial"/>
        <family val="2"/>
      </rPr>
      <t>core and add-on offerings</t>
    </r>
    <r>
      <rPr>
        <sz val="8"/>
        <rFont val="Arial"/>
        <family val="2"/>
      </rPr>
      <t>.</t>
    </r>
  </si>
  <si>
    <t>Provide a list of what products, modules, components in your offering, specifically provide or address which capability or solution component.  Indicate where each of these are part of the core subscription, or an additional add-on.</t>
  </si>
  <si>
    <r>
      <t xml:space="preserve">List of core and add-on offerings which </t>
    </r>
    <r>
      <rPr>
        <b/>
        <sz val="8"/>
        <rFont val="Arial"/>
        <family val="2"/>
      </rPr>
      <t>includes</t>
    </r>
    <r>
      <rPr>
        <sz val="8"/>
        <rFont val="Arial"/>
        <family val="2"/>
      </rPr>
      <t xml:space="preserve"> mapping to capabilities and solution components provided.</t>
    </r>
  </si>
  <si>
    <r>
      <t xml:space="preserve">List of core and add-on offerings which </t>
    </r>
    <r>
      <rPr>
        <b/>
        <sz val="8"/>
        <rFont val="Arial"/>
        <family val="2"/>
      </rPr>
      <t>excludes</t>
    </r>
    <r>
      <rPr>
        <sz val="8"/>
        <rFont val="Arial"/>
        <family val="2"/>
      </rPr>
      <t xml:space="preserve"> mapping to capabilities and solution components provided.</t>
    </r>
  </si>
  <si>
    <t>A3</t>
  </si>
  <si>
    <r>
      <t xml:space="preserve">Eskom requires that the system architecture and implementation should follow </t>
    </r>
    <r>
      <rPr>
        <b/>
        <sz val="8"/>
        <rFont val="Arial"/>
        <family val="2"/>
      </rPr>
      <t>open architecture standards and principles</t>
    </r>
    <r>
      <rPr>
        <sz val="8"/>
        <rFont val="Arial"/>
        <family val="2"/>
      </rPr>
      <t xml:space="preserve"> to ensure greater flexibility, interoperability, and portability.</t>
    </r>
  </si>
  <si>
    <t>Provide a list of open architecture standards and principles applied / used in the solution design and implementation methods proposed.</t>
  </si>
  <si>
    <r>
      <t xml:space="preserve">List of open architecture standards </t>
    </r>
    <r>
      <rPr>
        <b/>
        <sz val="8"/>
        <rFont val="Arial"/>
        <family val="2"/>
      </rPr>
      <t>and</t>
    </r>
    <r>
      <rPr>
        <sz val="8"/>
        <rFont val="Arial"/>
        <family val="2"/>
      </rPr>
      <t xml:space="preserve">   principles used in the solution design provided.</t>
    </r>
  </si>
  <si>
    <t>? What about providing only open arch principles. Do you need this to be cumulative??</t>
  </si>
  <si>
    <r>
      <t xml:space="preserve">List of </t>
    </r>
    <r>
      <rPr>
        <b/>
        <sz val="8"/>
        <rFont val="Arial"/>
        <family val="2"/>
      </rPr>
      <t>only</t>
    </r>
    <r>
      <rPr>
        <sz val="8"/>
        <rFont val="Arial"/>
        <family val="2"/>
      </rPr>
      <t xml:space="preserve"> open architecture standards used in the solution design provided.</t>
    </r>
  </si>
  <si>
    <t>A4</t>
  </si>
  <si>
    <r>
      <t xml:space="preserve">Eskom requires that the system utilises the principle of </t>
    </r>
    <r>
      <rPr>
        <b/>
        <sz val="8"/>
        <rFont val="Arial"/>
        <family val="2"/>
      </rPr>
      <t xml:space="preserve">least privilege </t>
    </r>
    <r>
      <rPr>
        <sz val="8"/>
        <rFont val="Arial"/>
        <family val="2"/>
      </rPr>
      <t>by allowing each user the minimum amount of access necessary for their work and role to be performed.</t>
    </r>
  </si>
  <si>
    <t>Provide the solution design in terms of minimum system access for each role in the solution and what specific access they are given.</t>
  </si>
  <si>
    <t>Provided design indicates what specific access each minimum profile has.</t>
  </si>
  <si>
    <t xml:space="preserve">?? Roles vs profiles. </t>
  </si>
  <si>
    <t>Provided design includes roles that have a minimum access profile.</t>
  </si>
  <si>
    <t>A5</t>
  </si>
  <si>
    <r>
      <t xml:space="preserve">Eskom requires that a </t>
    </r>
    <r>
      <rPr>
        <b/>
        <sz val="8"/>
        <rFont val="Arial"/>
        <family val="2"/>
      </rPr>
      <t>secure, end to end encrypted data gateway connection must be deployed between the SaaS offering and Eskom’s private network</t>
    </r>
    <r>
      <rPr>
        <sz val="8"/>
        <rFont val="Arial"/>
        <family val="2"/>
      </rPr>
      <t xml:space="preserve">.  The principle of </t>
    </r>
    <r>
      <rPr>
        <b/>
        <sz val="8"/>
        <rFont val="Arial"/>
        <family val="2"/>
      </rPr>
      <t>Zero Trust</t>
    </r>
    <r>
      <rPr>
        <sz val="8"/>
        <rFont val="Arial"/>
        <family val="2"/>
      </rPr>
      <t xml:space="preserve"> must be applied e.g., dedicated, secure landing zones for workloads.</t>
    </r>
  </si>
  <si>
    <t>Provide the design of the security arrangement between the SaaS solution and Eskom's network. Specifically indicate where the principle of Zero trust is applied.</t>
  </si>
  <si>
    <r>
      <t xml:space="preserve">Provided security design </t>
    </r>
    <r>
      <rPr>
        <b/>
        <sz val="8"/>
        <rFont val="Arial"/>
        <family val="2"/>
      </rPr>
      <t>including</t>
    </r>
    <r>
      <rPr>
        <sz val="8"/>
        <rFont val="Arial"/>
        <family val="2"/>
      </rPr>
      <t xml:space="preserve"> clear indications of where the Zero trust principle has been applied.</t>
    </r>
  </si>
  <si>
    <r>
      <t xml:space="preserve">Provided security design </t>
    </r>
    <r>
      <rPr>
        <b/>
        <sz val="8"/>
        <rFont val="Arial"/>
        <family val="2"/>
      </rPr>
      <t>excluding</t>
    </r>
    <r>
      <rPr>
        <sz val="8"/>
        <rFont val="Arial"/>
        <family val="2"/>
      </rPr>
      <t xml:space="preserve"> clear indications of where the Zero trust principle has been applied.</t>
    </r>
  </si>
  <si>
    <t>Made options mutually exclusive…</t>
  </si>
  <si>
    <t>A6</t>
  </si>
  <si>
    <r>
      <t xml:space="preserve">Eskom requires that the solution design applies the </t>
    </r>
    <r>
      <rPr>
        <b/>
        <sz val="8"/>
        <rFont val="Arial"/>
        <family val="2"/>
      </rPr>
      <t>fail-safe architecture principle</t>
    </r>
    <r>
      <rPr>
        <sz val="8"/>
        <rFont val="Arial"/>
        <family val="2"/>
      </rPr>
      <t>.
The Fail-Safe Architecture principle recognizes the importance of designing resilient architectures that can withstand the failure of individual security controls. By implementing fail-safe measures, the integrity and confidentiality of Eskom’s Energy Trading Solution can be maintained. This principle ensures continuous protection and reduces the risk of security breaches or unauthorized access.</t>
    </r>
  </si>
  <si>
    <t>Indicate where and how in the solution design fail-safe architecture principles have been applied in the design.</t>
  </si>
  <si>
    <r>
      <t>Design includes redundancies, points of failure, weak links analyses, load balancing and physical aspects of infrastructure, databases, applications and services. 
The</t>
    </r>
    <r>
      <rPr>
        <b/>
        <sz val="8"/>
        <rFont val="Arial"/>
        <family val="2"/>
      </rPr>
      <t xml:space="preserve"> design also takes into account</t>
    </r>
    <r>
      <rPr>
        <sz val="8"/>
        <rFont val="Arial"/>
        <family val="2"/>
      </rPr>
      <t xml:space="preserve"> factors that can impact the solution over-time, including but not limited to business growth, changes in business architecture, pending/future legal changes and any other unforeseen events.</t>
    </r>
  </si>
  <si>
    <r>
      <t xml:space="preserve">Design includes redundancies, points of failure, weak links analyses, load balancing and physical aspects of infrastructure, databases, applications and services. 
However the </t>
    </r>
    <r>
      <rPr>
        <b/>
        <sz val="8"/>
        <rFont val="Arial"/>
        <family val="2"/>
      </rPr>
      <t>design does NOT take into account</t>
    </r>
    <r>
      <rPr>
        <sz val="8"/>
        <rFont val="Arial"/>
        <family val="2"/>
      </rPr>
      <t xml:space="preserve"> factors that can impact the solution over-time, including but not limited to business growth, changes in business architecture, pending/future legal changes and any other unforeseen events. </t>
    </r>
  </si>
  <si>
    <t>A7</t>
  </si>
  <si>
    <r>
      <t xml:space="preserve">Eskom requires that the solution be designed for </t>
    </r>
    <r>
      <rPr>
        <b/>
        <sz val="8"/>
        <rFont val="Arial"/>
        <family val="2"/>
      </rPr>
      <t>portability</t>
    </r>
    <r>
      <rPr>
        <sz val="8"/>
        <rFont val="Arial"/>
        <family val="2"/>
      </rPr>
      <t xml:space="preserve"> as far as possible.</t>
    </r>
  </si>
  <si>
    <t>Indicate how portability is achieved in the design  (e.g., can be deployed on more than one hyperscale, which services used in the product are vendor agnostic)
List all database technologies supported by your solution and explain how you would support Eskom in migrating its data in a useful way for import and use in another solution after the subscription period.</t>
  </si>
  <si>
    <t>Design is suitable to be lifted and shifted to other environments through use of vendor-agnostic components and elements. List of database technologies is provided and details given on how Eskom would be supported in a migration scenario to a new solution/other vendor, including but not necessarily limited to standard services for this purpose, the tools to be utilised, an example of a migration plan and the roles and responsibilities involved.</t>
  </si>
  <si>
    <t>Design is suitable to be lifted and shifted to other environments through use of vendor-agnostic components and elements.</t>
  </si>
  <si>
    <t>A8</t>
  </si>
  <si>
    <r>
      <t xml:space="preserve">The </t>
    </r>
    <r>
      <rPr>
        <b/>
        <sz val="8"/>
        <rFont val="Arial"/>
        <family val="2"/>
      </rPr>
      <t>solution design must cater for unforeseen events and maintaining operational resilience</t>
    </r>
    <r>
      <rPr>
        <sz val="8"/>
        <rFont val="Arial"/>
        <family val="2"/>
      </rPr>
      <t xml:space="preserve"> to mitigate the impact of disruptions, minimize downtime, and ensure the ability to transition workloads between environments when required.
The solution’s connectivity should be optimised with High Availability (e.g., Built-in ability to restore the workloads across other landing zones) and Disaster Recovery capabilities (e.g., to other geo-regions within the SA borders), to address the criticality of the system (Mission Critical to Safety &amp; Revenue Critical), ensuring uninterrupted operations in the case of unforeseen events.
Backup to Eskom site (On-prem, Teraco, other Eskom approved hyperscale tenant) using NetBackup - to be independently recoverable by Eskom</t>
    </r>
  </si>
  <si>
    <t>Indicate in the solution design where and how resiliency is being addressed. In particular the core application and network elements must be a focus providing details on the recovery process together with support for independent backups to Eskom sites.</t>
  </si>
  <si>
    <r>
      <t xml:space="preserve">Design includes indications of where resiliency has been applied, what mechanisms will be used &amp; what impact they will have especially in terms of availability and recovery capabilities from an operational point of view. Alternative landing zones and disaster recovery options are included for inside and outside of SA borders (where appropriate). </t>
    </r>
    <r>
      <rPr>
        <b/>
        <sz val="8"/>
        <rFont val="Arial"/>
        <family val="2"/>
      </rPr>
      <t>The option of backups to Eskom specific sites is also catered for.</t>
    </r>
  </si>
  <si>
    <r>
      <t xml:space="preserve">Design includes indications of where resiliency has been applied, what mechanisms will be used &amp; what impact they will have especially in terms of availability and recovery capabilities from an operational point of view. Alternative landing zones and disaster recovery options are included for inside and outside of SA borders (where appropriate). </t>
    </r>
    <r>
      <rPr>
        <b/>
        <sz val="8"/>
        <rFont val="Arial"/>
        <family val="2"/>
      </rPr>
      <t>The option of backups to Eskom specific sites is NOT catered for.</t>
    </r>
  </si>
  <si>
    <t>A9</t>
  </si>
  <si>
    <r>
      <t xml:space="preserve">Eskom requires that the solution provides a </t>
    </r>
    <r>
      <rPr>
        <b/>
        <sz val="8"/>
        <rFont val="Arial"/>
        <family val="2"/>
      </rPr>
      <t>seamless and user-friendly experience</t>
    </r>
    <r>
      <rPr>
        <sz val="8"/>
        <rFont val="Arial"/>
        <family val="2"/>
      </rPr>
      <t>, enable super users and support staff to accelerate the delivery of configured Energy Trading applications and empower end users with self-service capabilities as far as possible.</t>
    </r>
  </si>
  <si>
    <t>Indicate what User Interface (UI) elements support a user-friendly experience &amp; how this is achieved. Also provide information on support for super users and self service capabilities.
- Provide relevant evidence re modules, screenshots, manuals etc…</t>
  </si>
  <si>
    <r>
      <t xml:space="preserve">Provided screen shots, slides and associated descriptions of user-friendly UI elements, </t>
    </r>
    <r>
      <rPr>
        <b/>
        <sz val="8"/>
        <rFont val="Arial"/>
        <family val="2"/>
      </rPr>
      <t xml:space="preserve">including </t>
    </r>
    <r>
      <rPr>
        <sz val="8"/>
        <rFont val="Arial"/>
        <family val="2"/>
      </rPr>
      <t>how a super user can use the solution's self-service capabilities.</t>
    </r>
  </si>
  <si>
    <r>
      <t xml:space="preserve">Provided screen shots, slides and associated descriptions of user-friendly UI elements, </t>
    </r>
    <r>
      <rPr>
        <b/>
        <sz val="8"/>
        <rFont val="Arial"/>
        <family val="2"/>
      </rPr>
      <t xml:space="preserve">excluding </t>
    </r>
    <r>
      <rPr>
        <sz val="8"/>
        <rFont val="Arial"/>
        <family val="2"/>
      </rPr>
      <t>how a super user can use the solution's self-service capabilities.</t>
    </r>
  </si>
  <si>
    <t>A10</t>
  </si>
  <si>
    <r>
      <t xml:space="preserve">Eskom requires that the </t>
    </r>
    <r>
      <rPr>
        <b/>
        <sz val="8"/>
        <rFont val="Arial"/>
        <family val="2"/>
      </rPr>
      <t>diverse nature of workloads must be considered in the design</t>
    </r>
    <r>
      <rPr>
        <sz val="8"/>
        <rFont val="Arial"/>
        <family val="2"/>
      </rPr>
      <t xml:space="preserve">.  Different application workloads have unique requirements and considerations.
Appropriate placement of workloads must take into consideration factors such as workload characteristics, performance requirements, data sensitivity, and business objectives. </t>
    </r>
  </si>
  <si>
    <t>Indicate how the design caters for workload management in the solution including key characteristics such as performance, data sensitivity and the development of business objectives and domain profiles.</t>
  </si>
  <si>
    <r>
      <t xml:space="preserve">Design includes workload management together with an explanation of how performance and data sensitivity (various types of data/priorities) are addressed, </t>
    </r>
    <r>
      <rPr>
        <b/>
        <sz val="8"/>
        <rFont val="Arial"/>
        <family val="2"/>
      </rPr>
      <t>including</t>
    </r>
    <r>
      <rPr>
        <sz val="8"/>
        <rFont val="Arial"/>
        <family val="2"/>
      </rPr>
      <t xml:space="preserve"> business objectives, domains (industry) and other aspects.</t>
    </r>
  </si>
  <si>
    <r>
      <t xml:space="preserve">Design includes workload management together with an explanation of how performance and data sensitivity (various types of data/priorities) are addressed, </t>
    </r>
    <r>
      <rPr>
        <b/>
        <sz val="8"/>
        <rFont val="Arial"/>
        <family val="2"/>
      </rPr>
      <t>excluding</t>
    </r>
    <r>
      <rPr>
        <sz val="8"/>
        <rFont val="Arial"/>
        <family val="2"/>
      </rPr>
      <t xml:space="preserve"> business objectives, domains (industry) and other aspects.</t>
    </r>
  </si>
  <si>
    <t>A11</t>
  </si>
  <si>
    <r>
      <t xml:space="preserve">Eskom requires that the solution and all components, and workloads and configurations must be </t>
    </r>
    <r>
      <rPr>
        <b/>
        <sz val="8"/>
        <rFont val="Arial"/>
        <family val="2"/>
      </rPr>
      <t xml:space="preserve">continuously monitored.  </t>
    </r>
    <r>
      <rPr>
        <sz val="8"/>
        <rFont val="Arial"/>
        <family val="2"/>
      </rPr>
      <t xml:space="preserve">
The service provider shall assist to implement the necessary financial management and monitoring processes and enforce agreed limits through available solution provider policies and governance (e.g., automated business rules, monitoring dashboards).
Resource efficiency, optimization, and right-sizing, not only ensure optimised operational expenditure, but also would assist to reduce energy consumption, and contribute to a more sustainable future.</t>
    </r>
  </si>
  <si>
    <t>Indicate how the solution design includes a monitoring function, what is monitored with a focus on the key components, the workloads and configurations.</t>
  </si>
  <si>
    <r>
      <t xml:space="preserve">Design includes a monitoring function that is able to provide feedback on the key components of the solution, their current state and configuration.
The </t>
    </r>
    <r>
      <rPr>
        <b/>
        <sz val="8"/>
        <rFont val="Arial"/>
        <family val="2"/>
      </rPr>
      <t>design also includes</t>
    </r>
    <r>
      <rPr>
        <sz val="8"/>
        <rFont val="Arial"/>
        <family val="2"/>
      </rPr>
      <t xml:space="preserve"> support for financial limits and thresholds, event triggering, linkages to automated business rules and dashboards and any mechanisms that reduce energy consumption of the solution itself.</t>
    </r>
  </si>
  <si>
    <r>
      <t xml:space="preserve">Design includes a monitoring function that is able to feedback on the key components of the solution, their current state and configuration.
The </t>
    </r>
    <r>
      <rPr>
        <b/>
        <sz val="8"/>
        <rFont val="Arial"/>
        <family val="2"/>
      </rPr>
      <t>design does not include</t>
    </r>
    <r>
      <rPr>
        <sz val="8"/>
        <rFont val="Arial"/>
        <family val="2"/>
      </rPr>
      <t xml:space="preserve"> support for financial limits and thresholds, event triggering, linkages to automated business rules and dashboards and any mechanisms that reduce energy consumption of the solution itself.
</t>
    </r>
  </si>
  <si>
    <t>A12</t>
  </si>
  <si>
    <t>The solution and design must cater for Eskom Holdings and all its current and future subsidiaries.</t>
  </si>
  <si>
    <t>Indicate in the design how the application interfaces, data segregation and integrated reporting will be handled taking into account the following:
(a) Eskom Holdings and multiple (current and future) subsidiaries
(b) In future some subsidiaries might move out of Eskom.  
(c) Integrated reporting must happen through all these Levels of the organisation, through all the subsidiaries and corporate functions, Boards and committees.
(d) Data between subsidiaries cannot be shared.</t>
  </si>
  <si>
    <r>
      <t xml:space="preserve">Design addresses the current plans in Eskom and provides options for subsidiaries to move out while allowing for </t>
    </r>
    <r>
      <rPr>
        <b/>
        <sz val="8"/>
        <rFont val="Arial"/>
        <family val="2"/>
      </rPr>
      <t>automated</t>
    </r>
    <r>
      <rPr>
        <sz val="8"/>
        <rFont val="Arial"/>
        <family val="2"/>
      </rPr>
      <t xml:space="preserve"> integrated reporting to happen throughout all levels and mechanisms in the organisations involved. Logical, Physical &amp; Hybrid data separation are options for subsidiaries and/or separate legal entities.</t>
    </r>
  </si>
  <si>
    <t>Why not use cumulative for addressing a, b ,c and/or d??</t>
  </si>
  <si>
    <r>
      <t xml:space="preserve">Design address the current plans in Eskom and provides options for subsidiaries to move out while allowing for </t>
    </r>
    <r>
      <rPr>
        <b/>
        <sz val="8"/>
        <rFont val="Arial"/>
        <family val="2"/>
      </rPr>
      <t>semi-automated</t>
    </r>
    <r>
      <rPr>
        <sz val="8"/>
        <rFont val="Arial"/>
        <family val="2"/>
      </rPr>
      <t xml:space="preserve"> integrated reporting to happen throughout all levels and mechanisms in the organisations involved. Logical data separation is an option for subsidiaries and/or separate legal entities.</t>
    </r>
  </si>
  <si>
    <t>A13</t>
  </si>
  <si>
    <t>Eskom requires that the solution adheres to Eskom IT standards for web authentication and authorisation, Enterprise Integration Platform (EIP/ESB) or secure APIs, support current client / user desktop PC specifications and communication protocols.</t>
  </si>
  <si>
    <t>Indicate how the design addresses Eskom IT standards for Web authentication and authorisation, EIP/API, Desktop specifications and communication protocols. Include a list of non conformances &amp; any comprises made.</t>
  </si>
  <si>
    <t xml:space="preserve">Design caters 100% for standards on Web authentication, EIP/AIP, Desktop Specifications and communication protocols. </t>
  </si>
  <si>
    <t>Design caters for less than 100% standards on Web authentication, EIP/AIP, Desktop Specifications and communication protocols.
A list of non conformances and compromises haven been provided to understand their impacts should this solution be chosen.</t>
  </si>
  <si>
    <t>Added less than 100% to make it mutually exclusive</t>
  </si>
  <si>
    <t>Eskom Group IT:  Technical Evaluation Criteria
Category: Cloud</t>
  </si>
  <si>
    <t>C1</t>
  </si>
  <si>
    <t>ARCHITECTURE
Cloud Service Model</t>
  </si>
  <si>
    <r>
      <t xml:space="preserve">Cloud Risk Assessment
Cloud Policy
2.2.12.1 The cloud service model (i.e. IaaS, PaaS or SaaS) and deployment model (i.e. Private, Public or Hybrid cloud) shall be determined by a pre-defined set of Cloud selection criteria as per the Selection Criteria set out by Group IT.
Note:
- Cloud Risk Assessment - </t>
    </r>
    <r>
      <rPr>
        <b/>
        <sz val="8"/>
        <rFont val="Arial"/>
        <family val="2"/>
      </rPr>
      <t>SaaS is required CSM</t>
    </r>
  </si>
  <si>
    <t>Indicate the Cloud Service Model that is being proposed for this solution (e.g. IaaS, PaaS, SaaS, Hybrid, DaaS, XaaS).</t>
  </si>
  <si>
    <r>
      <t xml:space="preserve">Solution supports required CSM viz. </t>
    </r>
    <r>
      <rPr>
        <b/>
        <sz val="8"/>
        <rFont val="Arial"/>
        <family val="2"/>
      </rPr>
      <t>SaaS</t>
    </r>
  </si>
  <si>
    <r>
      <t xml:space="preserve">Solution does </t>
    </r>
    <r>
      <rPr>
        <b/>
        <sz val="8"/>
        <rFont val="Arial"/>
        <family val="2"/>
      </rPr>
      <t>NOT</t>
    </r>
    <r>
      <rPr>
        <sz val="8"/>
        <rFont val="Arial"/>
        <family val="2"/>
      </rPr>
      <t xml:space="preserve"> support required CSM viz. </t>
    </r>
    <r>
      <rPr>
        <b/>
        <sz val="8"/>
        <rFont val="Arial"/>
        <family val="2"/>
      </rPr>
      <t>SaaS</t>
    </r>
  </si>
  <si>
    <t>C2</t>
  </si>
  <si>
    <t>ARCHITECTURE
Cloud Service Deployment</t>
  </si>
  <si>
    <r>
      <t xml:space="preserve">Cloud Risk Assessment
Cloud Policy
2.2.12.1 The cloud service model (i.e. IaaS, PaaS or SaaS) and deployment model (i.e. Private, Public or Hybrid cloud) shall be determined by a pre-defined set of Cloud selection criteria as per the Selection Criteria set out by Group IT.
Note:
- Cloud Risk Assessment - </t>
    </r>
    <r>
      <rPr>
        <b/>
        <sz val="8"/>
        <rFont val="Arial"/>
        <family val="2"/>
      </rPr>
      <t>Private / Hybrid is required SDM</t>
    </r>
  </si>
  <si>
    <t>Indicate the Service Deployment Model that is being proposed (Private, Public or Hybrid)</t>
  </si>
  <si>
    <r>
      <t xml:space="preserve">Solution supports </t>
    </r>
    <r>
      <rPr>
        <b/>
        <sz val="8"/>
        <rFont val="Arial"/>
        <family val="2"/>
      </rPr>
      <t xml:space="preserve">private / hybrid </t>
    </r>
    <r>
      <rPr>
        <sz val="8"/>
        <rFont val="Arial"/>
        <family val="2"/>
      </rPr>
      <t>SDMs.</t>
    </r>
  </si>
  <si>
    <t>?? Private + hybrid??</t>
  </si>
  <si>
    <r>
      <t xml:space="preserve">Solution does </t>
    </r>
    <r>
      <rPr>
        <b/>
        <sz val="8"/>
        <rFont val="Arial"/>
        <family val="2"/>
      </rPr>
      <t>NOT</t>
    </r>
    <r>
      <rPr>
        <sz val="8"/>
        <rFont val="Arial"/>
        <family val="2"/>
      </rPr>
      <t xml:space="preserve"> support </t>
    </r>
    <r>
      <rPr>
        <b/>
        <sz val="8"/>
        <rFont val="Arial"/>
        <family val="2"/>
      </rPr>
      <t>private / hybrid</t>
    </r>
    <r>
      <rPr>
        <sz val="8"/>
        <rFont val="Arial"/>
        <family val="2"/>
      </rPr>
      <t xml:space="preserve"> SDMs.</t>
    </r>
  </si>
  <si>
    <t>C4</t>
  </si>
  <si>
    <t>AVAILABILITY, RETRIEVAL AND USE
Availability</t>
  </si>
  <si>
    <t>Cloud Policy
2.2.4.5 Eskom shall ensure that it is adequately protected against CSP vendor lock-in and that all Eskom data and information be returned to Eskom as and when required.
Cloud Data Standard
Baseline Security Controls
Data availability – Data must be replicated to an on-premise location, or the Cloud environment of a different Cloud Service Provider, to ensure continuous access thereto in the event of a disruption.</t>
  </si>
  <si>
    <t>Is the availability of the cloud service dependent on any 3rd party and what risks are associated with this dependency?
- Provide details re cloud service dependencies, associated risks and risk mitigation actions.
- Provide relevant evidence re reference documents, modules, screenshots, manuals etc…</t>
  </si>
  <si>
    <r>
      <rPr>
        <b/>
        <sz val="8"/>
        <rFont val="Arial"/>
        <family val="2"/>
      </rPr>
      <t>No</t>
    </r>
    <r>
      <rPr>
        <sz val="8"/>
        <rFont val="Arial"/>
        <family val="2"/>
      </rPr>
      <t xml:space="preserve"> - availability of the cloud service is </t>
    </r>
    <r>
      <rPr>
        <b/>
        <sz val="8"/>
        <rFont val="Arial"/>
        <family val="2"/>
      </rPr>
      <t>NOT</t>
    </r>
    <r>
      <rPr>
        <sz val="8"/>
        <rFont val="Arial"/>
        <family val="2"/>
      </rPr>
      <t xml:space="preserve"> dependent on a 3rd party i.e. confirmation that the service provider is fully accountable for the services involved.
</t>
    </r>
  </si>
  <si>
    <r>
      <rPr>
        <b/>
        <sz val="8"/>
        <rFont val="Arial"/>
        <family val="2"/>
      </rPr>
      <t>Yes</t>
    </r>
    <r>
      <rPr>
        <sz val="8"/>
        <rFont val="Arial"/>
        <family val="2"/>
      </rPr>
      <t xml:space="preserve"> - availability of the cloud service is NOT dependent on a 3rd party.
- provided details explaining what the 3rd party risks are and how the risks will be mitigated so as to limit exposure to Eskom.</t>
    </r>
  </si>
  <si>
    <t xml:space="preserve">No relevant information provided
OR
No detail provided
</t>
  </si>
  <si>
    <t>C5</t>
  </si>
  <si>
    <r>
      <t xml:space="preserve">Cloud Policy
2.2.4.2 Eskom shall ensure that SLAs contain the high availability requirements (as per the Business Impact Assessment done by Eskom) for applications and data in the event of planned or unplanned disruptions or outages.
Note:
</t>
    </r>
    <r>
      <rPr>
        <b/>
        <sz val="8"/>
        <rFont val="Arial"/>
        <family val="2"/>
      </rPr>
      <t>Eskom requires 24/7, 99.999999% availability with full (100%@8 Hours + Off site redundancy and backup) disaster recovery plans and regular testing.</t>
    </r>
  </si>
  <si>
    <t>Indicate if the degree of availability of the data meet ESKOM business needs as defined (see note in column C).
- Provide relevant evidence re reference documents, modules, screenshots, manuals etc…</t>
  </si>
  <si>
    <t>Proposed solution caters for high-availability requirements for applications and data (see column C).</t>
  </si>
  <si>
    <r>
      <t xml:space="preserve">Proposed solution does </t>
    </r>
    <r>
      <rPr>
        <b/>
        <sz val="8"/>
        <rFont val="Arial"/>
        <family val="2"/>
      </rPr>
      <t>NOT</t>
    </r>
    <r>
      <rPr>
        <sz val="8"/>
        <rFont val="Arial"/>
        <family val="2"/>
      </rPr>
      <t xml:space="preserve"> cater for high-availability requirements for applications and data(see column C).</t>
    </r>
  </si>
  <si>
    <t>C6</t>
  </si>
  <si>
    <r>
      <t xml:space="preserve">Solution Performance Requirement
Eskom shall ensure that SLAs contain the associated system, integration and data exchange performance requirements for applications and data transfers.
Note:
</t>
    </r>
    <r>
      <rPr>
        <b/>
        <sz val="8"/>
        <rFont val="Arial"/>
        <family val="2"/>
      </rPr>
      <t>Eskom requires the cloud service to support real-time (&lt;1 sec) and/or a  range of defined interaction/execution times that can be achieved (through resource allocation in the cloud management suite) based on the prevailing requirement of the business into the future.</t>
    </r>
  </si>
  <si>
    <t>Indicate if the Cloud Service (availability, latency, performance, integration) supports real-time, semi-real-time or delayed interactive data exchange?
- Provide relevant evidence re reference documents, modules, screenshots, manuals etc…</t>
  </si>
  <si>
    <r>
      <t xml:space="preserve">The cloud service supports </t>
    </r>
    <r>
      <rPr>
        <b/>
        <sz val="8"/>
        <rFont val="Arial"/>
        <family val="2"/>
      </rPr>
      <t>real-time (&lt;1 sec) and/or a  range of defined interaction/execution times</t>
    </r>
    <r>
      <rPr>
        <sz val="8"/>
        <rFont val="Arial"/>
        <family val="2"/>
      </rPr>
      <t xml:space="preserve"> that can be achieved (through resource allocation in the cloud management suite) based on the prevailing requirement of the business into the future.
</t>
    </r>
  </si>
  <si>
    <r>
      <t xml:space="preserve">The cloud service </t>
    </r>
    <r>
      <rPr>
        <b/>
        <u/>
        <sz val="8"/>
        <rFont val="Arial"/>
        <family val="2"/>
      </rPr>
      <t>does NOT support real-time</t>
    </r>
    <r>
      <rPr>
        <b/>
        <sz val="8"/>
        <rFont val="Arial"/>
        <family val="2"/>
      </rPr>
      <t xml:space="preserve"> (&lt;1 sec) </t>
    </r>
    <r>
      <rPr>
        <b/>
        <u/>
        <sz val="8"/>
        <rFont val="Arial"/>
        <family val="2"/>
      </rPr>
      <t>but does support</t>
    </r>
    <r>
      <rPr>
        <b/>
        <sz val="8"/>
        <rFont val="Arial"/>
        <family val="2"/>
      </rPr>
      <t xml:space="preserve"> a range of defined interaction/execution times</t>
    </r>
    <r>
      <rPr>
        <sz val="8"/>
        <rFont val="Arial"/>
        <family val="2"/>
      </rPr>
      <t xml:space="preserve"> that can be achieved  (through resource allocation in the cloud management suite) based on the prevailing requirement of the business into the future.
</t>
    </r>
  </si>
  <si>
    <r>
      <t xml:space="preserve">The cloud service does </t>
    </r>
    <r>
      <rPr>
        <b/>
        <sz val="8"/>
        <rFont val="Arial"/>
        <family val="2"/>
      </rPr>
      <t>NOT</t>
    </r>
    <r>
      <rPr>
        <sz val="8"/>
        <rFont val="Arial"/>
        <family val="2"/>
      </rPr>
      <t xml:space="preserve"> support real-time (&lt;1 sec) and/or a range of defined interaction/execution times.
</t>
    </r>
  </si>
  <si>
    <t>C7</t>
  </si>
  <si>
    <t>DATA STORAGE AND PRESERVATION: Backup -
Data Storage</t>
  </si>
  <si>
    <t>Could Policy
2.2.4.3 Business continuity, disaster recovery plans, backups and redundancy mechanisms must be reviewed by Eskom.
1. Eskom requires that the backup of all data and metadata is included as part of the service offering.
2. Eskom requires tools and interfaces to be available for administrators to interact with and restore this data and metadata?</t>
  </si>
  <si>
    <t>Indicate if solution allows backup data and metadata as well as provides the supporting tools to execute these tasks.
- Provide relevant evidence re reference documents, modules, screenshots, manuals etc…</t>
  </si>
  <si>
    <r>
      <t xml:space="preserve">Backup of data and metadata is included as part of the service offering </t>
    </r>
    <r>
      <rPr>
        <b/>
        <sz val="8"/>
        <rFont val="Arial"/>
        <family val="2"/>
      </rPr>
      <t>and</t>
    </r>
    <r>
      <rPr>
        <sz val="8"/>
        <rFont val="Arial"/>
        <family val="2"/>
      </rPr>
      <t xml:space="preserve"> there are tools and interfaces available for administrators to interact with to restore data and metadata.
</t>
    </r>
  </si>
  <si>
    <r>
      <t xml:space="preserve">Backup of data and metadata is included as part of the service offering </t>
    </r>
    <r>
      <rPr>
        <b/>
        <sz val="8"/>
        <rFont val="Arial"/>
        <family val="2"/>
      </rPr>
      <t>but there are a limited set of tools</t>
    </r>
    <r>
      <rPr>
        <sz val="8"/>
        <rFont val="Arial"/>
        <family val="2"/>
      </rPr>
      <t xml:space="preserve"> and interfaces with only or primarily command line utilities to restore data and metadata.</t>
    </r>
  </si>
  <si>
    <t>C8</t>
  </si>
  <si>
    <t>Cloud Policy
All data retentions requirements as per Policy for Records Retention periods must be adhered to.
2.2.5.4 The Cloud Service Provider (CSP) must delete/eliminate any trace of Eskom data/information from its systems at the end of the Contract in accordance with the guidelines defined in National Institute of Standards and Technology (NIST).
Note:
At contract termination the CSP must be able to destroy ESKOM data and associated metadata (and all their copies, including backups)  in compliance with ESKOM data retention and disposition policies.</t>
  </si>
  <si>
    <t>Indicate that you are able to destroy Eskom data and associated metadata as required.
- Provide relevant evidence re reference documents, modules, screenshots, manuals etc…</t>
  </si>
  <si>
    <t xml:space="preserve">CSP is able to destroy data/metadata according to retention/disposition policies and NIST guideline.
</t>
  </si>
  <si>
    <r>
      <t xml:space="preserve">CSP is </t>
    </r>
    <r>
      <rPr>
        <b/>
        <sz val="8"/>
        <rFont val="Arial"/>
        <family val="2"/>
      </rPr>
      <t>NOT</t>
    </r>
    <r>
      <rPr>
        <sz val="8"/>
        <rFont val="Arial"/>
        <family val="2"/>
      </rPr>
      <t xml:space="preserve"> able to destroy data/metadata according to retention/disposition policies and NIST guidelines.</t>
    </r>
  </si>
  <si>
    <t>C9</t>
  </si>
  <si>
    <t>SECURITY, CONFIDENTIALITY AND PRIVACY: Security</t>
  </si>
  <si>
    <t>Cloud Policy
2.2.6.4 Eskom must ensure that the CSP’s maintain the same levels of security and controls required across all platforms and data centres.
Cloud Data Standard
Baseline Security Control
Access to Cloud environment – access control to Cloud environments, as well as the ingress and egress movement of data, will be done using existing mechanisms and other complementary Cloud-specific mechanisms. Do not enable direct remote access to Cloud VMs from the Internet, but enforce the use of VPNs.</t>
  </si>
  <si>
    <t>Indicate if the system prevents unauthorized access, use, alteration or destruction of ESKOM data?
- Provide relevant evidence re reference documents, modules, screenshots, manuals etc…</t>
  </si>
  <si>
    <t xml:space="preserve">System prevents unauthorized access, use, alteration or destruction of ESKOM data
</t>
  </si>
  <si>
    <r>
      <t xml:space="preserve">System does </t>
    </r>
    <r>
      <rPr>
        <b/>
        <sz val="8"/>
        <rFont val="Arial"/>
        <family val="2"/>
      </rPr>
      <t>NOT</t>
    </r>
    <r>
      <rPr>
        <sz val="8"/>
        <rFont val="Arial"/>
        <family val="2"/>
      </rPr>
      <t xml:space="preserve"> prevent unauthorized access, use, alteration or destruction of ESKOM data
</t>
    </r>
  </si>
  <si>
    <t>C10</t>
  </si>
  <si>
    <t>Cloud Data Standard
Baseline Security Control
Access to Cloud environment – access control to Cloud environments, as well as the ingress and egress movement of data, will be done using existing mechanisms and other complementary Cloud-specific mechanisms. Do not enable direct remote access to Cloud VMs from the Internet, but enforce the use of VPNs.</t>
  </si>
  <si>
    <t>Indicate if and how ESKOM data will be secured during procedures of transfer into and out of the system?
- Provide relevant evidence re reference documents, modules, screenshots, manuals etc…</t>
  </si>
  <si>
    <t xml:space="preserve">ESKOM data will be secured during procedures of transfer into and out of the system
</t>
  </si>
  <si>
    <r>
      <t xml:space="preserve">ESKOM data will </t>
    </r>
    <r>
      <rPr>
        <b/>
        <sz val="8"/>
        <rFont val="Arial"/>
        <family val="2"/>
      </rPr>
      <t>NOT</t>
    </r>
    <r>
      <rPr>
        <sz val="8"/>
        <rFont val="Arial"/>
        <family val="2"/>
      </rPr>
      <t xml:space="preserve"> be secured during procedures of transfer into and out of the system</t>
    </r>
  </si>
  <si>
    <t>C12</t>
  </si>
  <si>
    <t>DATA LOCATION AND CROSS-BORDER DATA FLOWS: Data Location - Data</t>
  </si>
  <si>
    <r>
      <t xml:space="preserve">Cloud Policy
2.2.2.3 Acceptable locations for the storage and/or processing of Eskom data must be identified in all contracts with CSPs by Eskom.
2.2.2.4 In the case of hosting offshore, the location where the Cloud Service is hosted must be assessed and approved for compliance with relevant laws and regulations related to Data Privacy. Any other laws that may override data privacy laws or enable the government of the country in question to access data and personal information sometimes without any prior notification, permission or court order must be assessed. 
Note:
- Eskom </t>
    </r>
    <r>
      <rPr>
        <u/>
        <sz val="8"/>
        <rFont val="Arial"/>
        <family val="2"/>
      </rPr>
      <t>prefers</t>
    </r>
    <r>
      <rPr>
        <sz val="8"/>
        <rFont val="Arial"/>
        <family val="2"/>
      </rPr>
      <t xml:space="preserve"> that the cloud service be hosted in South Africa</t>
    </r>
  </si>
  <si>
    <t>Specify where the cloud service is hosted. 
- Provide relevant evidence re reference documents etc…</t>
  </si>
  <si>
    <t xml:space="preserve">Cloud service hosted in South Africa and European Union
</t>
  </si>
  <si>
    <t xml:space="preserve">Cloud service hosted in European Union only
</t>
  </si>
  <si>
    <t>Cloud service hosted elsewhere</t>
  </si>
  <si>
    <t>C13</t>
  </si>
  <si>
    <t>Cloud Data Standard
C. Information that is classified as Secret and Top Secret can be processed and/or stored in a Cloud environment subject to the Baseline Security Controls for the Cloud, the minimum conditions specified for Confidential information, as well as the following minimum conditions:
1.  Application processing must be done on physical or virtual servers that is exclusively for the use of Eskom, its subsidiaries and users, e.g. a SaaS instance that is not shared with a non-Eskom entity.
2.  Eskom Information shall not share storage services with a non-Eskom entity.</t>
  </si>
  <si>
    <t>Indicate if your cloud service has the option for dedicated compute and storage infrastructure that is not shared by any other cloud tenants.
- Provide relevant evidence re reference documents, modules, screenshots, manuals etc…</t>
  </si>
  <si>
    <t>Cloud service has dedicated compute and storage infrastructure that is not shared by any other cloud tenants.</t>
  </si>
  <si>
    <r>
      <t xml:space="preserve">Cloud service has dedicated compute and storage infrastructure that is not shared by any other cloud tenants, </t>
    </r>
    <r>
      <rPr>
        <b/>
        <sz val="8"/>
        <rFont val="Arial"/>
        <family val="2"/>
      </rPr>
      <t>but</t>
    </r>
    <r>
      <rPr>
        <sz val="8"/>
        <rFont val="Arial"/>
        <family val="2"/>
      </rPr>
      <t xml:space="preserve"> data segregation mechanisms (incl. instance separation) and or equivalent options are available to manage data access.</t>
    </r>
  </si>
  <si>
    <r>
      <t xml:space="preserve">Cloud service does </t>
    </r>
    <r>
      <rPr>
        <b/>
        <sz val="8"/>
        <rFont val="Arial"/>
        <family val="2"/>
      </rPr>
      <t>NOT</t>
    </r>
    <r>
      <rPr>
        <sz val="8"/>
        <rFont val="Arial"/>
        <family val="2"/>
      </rPr>
      <t xml:space="preserve"> have dedicated compute and storage infrastructure that is not shared by any other cloud tenants
</t>
    </r>
    <r>
      <rPr>
        <b/>
        <sz val="8"/>
        <rFont val="Arial"/>
        <family val="2"/>
      </rPr>
      <t>AND</t>
    </r>
    <r>
      <rPr>
        <sz val="8"/>
        <rFont val="Arial"/>
        <family val="2"/>
      </rPr>
      <t xml:space="preserve">
Data segregation mechanisms (incl. instance separation) and or equivalent options are </t>
    </r>
    <r>
      <rPr>
        <b/>
        <sz val="8"/>
        <rFont val="Arial"/>
        <family val="2"/>
      </rPr>
      <t>NOT</t>
    </r>
    <r>
      <rPr>
        <sz val="8"/>
        <rFont val="Arial"/>
        <family val="2"/>
      </rPr>
      <t xml:space="preserve"> available to manage data access.</t>
    </r>
  </si>
  <si>
    <t>C14</t>
  </si>
  <si>
    <t>Cloud Policy
2.2.2.3 Acceptable locations for the storage and/or processing of Eskom data must be identified in all contracts with CSPs by Eskom.
2.2.2.4 In the case of hosting offshore, the location where the Cloud Service is hosted must be assessed and approved for compliance with relevant laws and regulations related to Data Privacy. Any other laws that may override data privacy laws or enable the government of the country in question to access data and personal information sometimes without any prior notification, permission or court order must be assessed.
Cloud Data Standard
B. Information that is classified as Confidential can be processed and/or stored in a Cloud environment subject to the Baseline Security Controls for the Cloud and the following minimum conditions:
1.  The Cloud Service Provider (CSP) must have the required certifications as determined in the Eskom Cloud Security Standard.
2.  The Data Centres(DCs) of the CSP, including backup DCs, must be in sovereign regions with privacy and data governance laws at least equal to those of South Africa. Eskom information must not be stored in data centres based in countries with authoritarian laws that make provision for the seizure of information belonging to any organisation during an unrelated legal matters.
3.  User and Service authentication must be done using the current Eskom identity and access management solution.
C. Information that is classified as Secret and Top Secret can be processed and/or stored in a Cloud environment subject to the Baseline Security Controls for the Cloud, the minimum conditions specified for Confidential information, as well as the following minimum conditions.
Note:
- Eskom needs to able to specify acceptable locations for the storage and/or processing of Eskom data in all contracts with CSPs.</t>
  </si>
  <si>
    <t>Indicate if ESKOM will have the option to specify the location, in which ESKOM data, metadata and their copies will be stored?
- Provide relevant evidence re reference documents, modules, screenshots, manuals etc…</t>
  </si>
  <si>
    <r>
      <t xml:space="preserve">Yes (ESKOM will have the option to specify the location, in which ESKOM data, metadata and their copies will be stored)
</t>
    </r>
    <r>
      <rPr>
        <i/>
        <sz val="8"/>
        <rFont val="Arial"/>
        <family val="2"/>
      </rPr>
      <t>- South Africa private cloud (e.g. MS/AWS tenant) or on premise cloud</t>
    </r>
    <r>
      <rPr>
        <sz val="8"/>
        <rFont val="Arial"/>
        <family val="2"/>
      </rPr>
      <t xml:space="preserve">
</t>
    </r>
  </si>
  <si>
    <r>
      <t xml:space="preserve">Yes (ESKOM will have the option to specify the location, in which ESKOM data, metadata and their copies will be stored)
</t>
    </r>
    <r>
      <rPr>
        <i/>
        <sz val="8"/>
        <rFont val="Arial"/>
        <family val="2"/>
      </rPr>
      <t>- South Africa private cloud (e.g. MS/AWS tenant)</t>
    </r>
    <r>
      <rPr>
        <sz val="8"/>
        <rFont val="Arial"/>
        <family val="2"/>
      </rPr>
      <t xml:space="preserve">
</t>
    </r>
  </si>
  <si>
    <r>
      <t xml:space="preserve">Yes (ESKOM will have the option to specify the location, in which ESKOM data, metadata and their copies will be stored) 
</t>
    </r>
    <r>
      <rPr>
        <i/>
        <sz val="8"/>
        <rFont val="Arial"/>
        <family val="2"/>
      </rPr>
      <t>- On premise cloud</t>
    </r>
    <r>
      <rPr>
        <sz val="8"/>
        <rFont val="Arial"/>
        <family val="2"/>
      </rPr>
      <t xml:space="preserve">
</t>
    </r>
  </si>
  <si>
    <r>
      <t xml:space="preserve">No (ESKOM will </t>
    </r>
    <r>
      <rPr>
        <b/>
        <sz val="8"/>
        <rFont val="Arial"/>
        <family val="2"/>
      </rPr>
      <t>NOT</t>
    </r>
    <r>
      <rPr>
        <sz val="8"/>
        <rFont val="Arial"/>
        <family val="2"/>
      </rPr>
      <t xml:space="preserve"> have the option to specify the location, in which ESKOM data, metadata and their copies will be stored)</t>
    </r>
  </si>
  <si>
    <t>C15</t>
  </si>
  <si>
    <t>END OF SERVICE – CONTRACT TERMINATION: Cloud Transition and Integration</t>
  </si>
  <si>
    <t>Integration mechanisms and models need to support secure and complete data exchange for hybrid solutions (on-premise and cloud) that align to the performance requirements of the solution ecosystem</t>
  </si>
  <si>
    <t xml:space="preserve">Provide an integration model between on-premise environments and cloud environments to ensure secure, complete and performing data exchange and workloads?
</t>
  </si>
  <si>
    <t xml:space="preserve">Integration model provided
- is comprehensive and covers all security, integration and performance requirements.
</t>
  </si>
  <si>
    <r>
      <t xml:space="preserve">Integration model is provided 
- it covers </t>
    </r>
    <r>
      <rPr>
        <b/>
        <sz val="8"/>
        <rFont val="Arial"/>
        <family val="2"/>
      </rPr>
      <t>&gt; 80%</t>
    </r>
    <r>
      <rPr>
        <sz val="8"/>
        <rFont val="Arial"/>
        <family val="2"/>
      </rPr>
      <t xml:space="preserve"> of security, integration and performance requirements
</t>
    </r>
  </si>
  <si>
    <t>No integration model provided</t>
  </si>
  <si>
    <t>C16</t>
  </si>
  <si>
    <t>SECURITY, CONFIDENTIALITY AND PRIVACY</t>
  </si>
  <si>
    <r>
      <t xml:space="preserve">Eskom will be notified for </t>
    </r>
    <r>
      <rPr>
        <b/>
        <sz val="8"/>
        <rFont val="Arial"/>
        <family val="2"/>
      </rPr>
      <t>BOTH</t>
    </r>
    <r>
      <rPr>
        <sz val="8"/>
        <rFont val="Arial"/>
        <family val="2"/>
      </rPr>
      <t xml:space="preserve"> security breaches and system malfunctions using multiple notification methods (e.g. email, SMS etc.)</t>
    </r>
  </si>
  <si>
    <r>
      <t xml:space="preserve">Eskom will be notified for </t>
    </r>
    <r>
      <rPr>
        <b/>
        <sz val="8"/>
        <rFont val="Arial"/>
        <family val="2"/>
      </rPr>
      <t>EITHER</t>
    </r>
    <r>
      <rPr>
        <sz val="8"/>
        <rFont val="Arial"/>
        <family val="2"/>
      </rPr>
      <t xml:space="preserve"> security breaches </t>
    </r>
    <r>
      <rPr>
        <b/>
        <sz val="8"/>
        <rFont val="Arial"/>
        <family val="2"/>
      </rPr>
      <t>OR</t>
    </r>
    <r>
      <rPr>
        <sz val="8"/>
        <rFont val="Arial"/>
        <family val="2"/>
      </rPr>
      <t xml:space="preserve"> system malfunctions using multiple notification methods (e.g. email, SMS etc.)</t>
    </r>
  </si>
  <si>
    <r>
      <t xml:space="preserve">Eskom will be </t>
    </r>
    <r>
      <rPr>
        <b/>
        <sz val="8"/>
        <rFont val="Arial"/>
        <family val="2"/>
      </rPr>
      <t>NOT</t>
    </r>
    <r>
      <rPr>
        <sz val="8"/>
        <rFont val="Arial"/>
        <family val="2"/>
      </rPr>
      <t xml:space="preserve"> be notified for either security breaches and system malfunctions.</t>
    </r>
  </si>
  <si>
    <t>C18</t>
  </si>
  <si>
    <t>Cloud Security Standard
CSP’s shall always prepare for graceful failure in case of a particular CSP’s outage.
This can include plans for interoperability and portability with other CSP’s or a different region with your current provider
Note:
The CSP outage plan should align with Eskom's recovery objectives, addresses higher frequency transient failures, has a dependency mapped set of risks &amp; mitigations, caters for continuous availability (limits user-visible impacts), architectural resilience patterns across all domains and includes automated DR.</t>
  </si>
  <si>
    <t xml:space="preserve">In your technical response show how your solution caters for or handles graceful failure after a cloud outage.
- Provide actionable outage plans that caters for graceful.
</t>
  </si>
  <si>
    <t>Provided CSP outage plans which aligns to Eskom's requirements (see requirement note in column C).</t>
  </si>
  <si>
    <t>Moved detail to column C requirement.</t>
  </si>
  <si>
    <t>Provided standardised CSP outage plan according to default offerings.</t>
  </si>
  <si>
    <t>There is a limited outage plan or no plan at all.</t>
  </si>
  <si>
    <t>C19</t>
  </si>
  <si>
    <t>Cloud Security Standard
CSP’s shall offer identity ecosystem, such as:
1. Policy Enforcement Points (PEP-as-a-service)
2. Policy Decision Points (PDP-as-a-service)
3. Policy Access Points (PAP-as-a-service)
...services that provide Eskom with Identity, services that provide attributes (e.g., Multi-Factor Authentication), and web-based single sign-on (SSO).</t>
  </si>
  <si>
    <t>Indicate the key identity ecosystem components in your solution viz. PEP, PDP and PAP.
- Provide relevant evidence re modules, screenshots, manuals etc…</t>
  </si>
  <si>
    <t>Solution provides all 3 integrated identity ecosystem components viz. PEP, PDP and PAP.</t>
  </si>
  <si>
    <t>Solution provides 1 or 2 identity ecosystem components.</t>
  </si>
  <si>
    <t>The solution design &amp; outage plan is a standardised according to default offerings.</t>
  </si>
  <si>
    <t>Solution provides NO identity ecosystem components</t>
  </si>
  <si>
    <t>There is a limited plan, or no plan at all</t>
  </si>
  <si>
    <t>C21</t>
  </si>
  <si>
    <t>Cloud Security Standard
CSP’s shall employ web security gateways (WSG) to proxying or redirecting web traffic to the cloud service provider (or a hybrid of both).</t>
  </si>
  <si>
    <t>Indicate how your solution employs WSGs to proxy or redirect traffic to the CSP (or a hybrid of both).
- Provide relevant evidence re modules, screenshots, manuals etc…</t>
  </si>
  <si>
    <r>
      <t>Solution WSGs employ both proxy and redirection (</t>
    </r>
    <r>
      <rPr>
        <b/>
        <sz val="8"/>
        <rFont val="Arial"/>
        <family val="2"/>
      </rPr>
      <t>hybrid</t>
    </r>
    <r>
      <rPr>
        <sz val="8"/>
        <rFont val="Arial"/>
        <family val="2"/>
      </rPr>
      <t>).</t>
    </r>
  </si>
  <si>
    <t>Security Team to give guidance</t>
  </si>
  <si>
    <t>Solution WSGs employ either proxy or redirection.</t>
  </si>
  <si>
    <r>
      <t xml:space="preserve">Solution WSGs does </t>
    </r>
    <r>
      <rPr>
        <b/>
        <sz val="8"/>
        <rFont val="Arial"/>
        <family val="2"/>
      </rPr>
      <t>NOT</t>
    </r>
    <r>
      <rPr>
        <sz val="8"/>
        <rFont val="Arial"/>
        <family val="2"/>
      </rPr>
      <t xml:space="preserve"> employ proxy or redirection.</t>
    </r>
  </si>
  <si>
    <t>C22</t>
  </si>
  <si>
    <t>Cloud Security Standard
CSP’s shall employ CASB, (also known as Cloud Access Security Brokers) to monitor activity, enforce policy, and detect and/or prevent security issues or anomalies</t>
  </si>
  <si>
    <t>Indicate which architectures your CASBs employ to control and secure your solution.
- Provide relevant evidence re modules, screenshots, manuals etc…</t>
  </si>
  <si>
    <t>Solution CASBs employ API-Control, reverse proxy, forward proxy, proxy-based, API-based and hybrids (e.g. API and proxy options combined) architectures.</t>
  </si>
  <si>
    <r>
      <t xml:space="preserve">Solution CASBs employ API-Control, reverse proxy, forward proxy, proxy-based, API-based, </t>
    </r>
    <r>
      <rPr>
        <b/>
        <sz val="8"/>
        <rFont val="Arial"/>
        <family val="2"/>
      </rPr>
      <t>but excludes hybrids</t>
    </r>
    <r>
      <rPr>
        <sz val="8"/>
        <rFont val="Arial"/>
        <family val="2"/>
      </rPr>
      <t xml:space="preserve"> (e.g. API and proxy options combined) architectures.</t>
    </r>
  </si>
  <si>
    <r>
      <t xml:space="preserve">Solution CASBs do </t>
    </r>
    <r>
      <rPr>
        <b/>
        <sz val="8"/>
        <rFont val="Arial"/>
        <family val="2"/>
      </rPr>
      <t>NOT</t>
    </r>
    <r>
      <rPr>
        <sz val="8"/>
        <rFont val="Arial"/>
        <family val="2"/>
      </rPr>
      <t xml:space="preserve"> employ one or more of API-Control, Reverse Proxy, Forward Proxy, Proxy-Based, API-Based architectures.
</t>
    </r>
  </si>
  <si>
    <t>C23</t>
  </si>
  <si>
    <t>Cloud Security Standard
CSP’s shall employ Intrusion Detection/Prevention System (IDS/IPS). CSP’s shall employ Distributed Denial of Service (DDoS) protection mechanism. CSP’s shall employ cloud-based Security Information &amp; Event Management (SIEM).
Note:
IDS/IPS features for Early Threat Detection, Anomaly-based detection, Hybrid detection, Log analysis, Protocol behaviour, Threat Intelligence and Deep Packet Inspection. Inclusion for Anti-DDOS to be scalable, flexible and reliable with the specific feature to address large network sizes with sufficient bandwidth to absorb attacks and to perform monitoring and notification services. 
SIEM capabilities to handle incident response, compliance monitoring, log management, and have options for long term event storage.</t>
  </si>
  <si>
    <t xml:space="preserve">Indicate which cloud security attack prevention mechanisms your solution employs.
- Provide design ito cloud security attack prevention mechanisms.
- Provide relevant evidence re modules, screenshots, manuals etc…
</t>
  </si>
  <si>
    <t>For each available functionality award the corresponding score cumulatively.</t>
  </si>
  <si>
    <r>
      <t xml:space="preserve">Heiny: Added detail to requirement…
XYZ first 2 of your options are duplicated.
</t>
    </r>
    <r>
      <rPr>
        <sz val="8"/>
        <color rgb="FF003896"/>
        <rFont val="Arial"/>
        <family val="2"/>
      </rPr>
      <t>Security Team to give guidance</t>
    </r>
  </si>
  <si>
    <t>1. Intrusion Detection/Prevention System (IDS/IPS).</t>
  </si>
  <si>
    <t>2. Distributed Denial of Service (DDoS) protection mechanism.</t>
  </si>
  <si>
    <t>3. Security Information &amp; Event Management (SIEM).</t>
  </si>
  <si>
    <t>C24</t>
  </si>
  <si>
    <t>Cloud Security Standard
Backups shall be encrypted using at minimum AES-256 and advanced quantum safe encryption standard, securely kept with limited admin access</t>
  </si>
  <si>
    <t>Indicate which encryption standards your solution employs for backups.
- Provide relevant evidence re modules, screenshots, manuals etc…</t>
  </si>
  <si>
    <t>Solution employs AES-256, NIST Crystals-Kyber and Dilithium cryptographic algorithms for backups.</t>
  </si>
  <si>
    <t>Solution employs only AES-256 for backups.</t>
  </si>
  <si>
    <r>
      <t xml:space="preserve">Solution does </t>
    </r>
    <r>
      <rPr>
        <b/>
        <sz val="8"/>
        <rFont val="Arial"/>
        <family val="2"/>
      </rPr>
      <t>NOT</t>
    </r>
    <r>
      <rPr>
        <sz val="8"/>
        <rFont val="Arial"/>
        <family val="2"/>
      </rPr>
      <t xml:space="preserve"> employ AES-256 for backups.</t>
    </r>
  </si>
  <si>
    <t>C25</t>
  </si>
  <si>
    <t>Cloud Security Standard
CSP’s shall employ real-time data synchronisation and/or data shall be replicated to another cloud platform hosted in a different region to minimise downtime.</t>
  </si>
  <si>
    <t>Indicate if your solution allows real-time data synchronisation or off premise replication (another cloud platform hosted in a different region) to minimise downtime.
- Provide relevant evidence re modules, screenshots, manuals etc…</t>
  </si>
  <si>
    <t>1. Solution allows real-time data synchronisation.</t>
  </si>
  <si>
    <t>2. Solution allows off premise replication.</t>
  </si>
  <si>
    <t>C26</t>
  </si>
  <si>
    <t>Cloud Security Standard
CSP’s shall have a formal cloud incident response plan to cover each stage of the incident handling process: detection, analysis, containment, eradication, and recovery.</t>
  </si>
  <si>
    <t>Indicate if your solution has formal cloud incident response plans that cover the different stages of an incident handling process?
- Provide incident response plans.
- Provide relevant evidence re modules, screenshots, manuals etc…</t>
  </si>
  <si>
    <r>
      <t xml:space="preserve">Solution comes with formal / standard cloud </t>
    </r>
    <r>
      <rPr>
        <b/>
        <sz val="8"/>
        <rFont val="Arial"/>
        <family val="2"/>
      </rPr>
      <t>incident response plans as part of solution implementation.</t>
    </r>
  </si>
  <si>
    <r>
      <t>Solution cloud</t>
    </r>
    <r>
      <rPr>
        <b/>
        <sz val="8"/>
        <rFont val="Arial"/>
        <family val="2"/>
      </rPr>
      <t xml:space="preserve"> incident response plans to provided as a </t>
    </r>
    <r>
      <rPr>
        <b/>
        <u/>
        <sz val="8"/>
        <rFont val="Arial"/>
        <family val="2"/>
      </rPr>
      <t xml:space="preserve">separate service </t>
    </r>
    <r>
      <rPr>
        <b/>
        <sz val="8"/>
        <rFont val="Arial"/>
        <family val="2"/>
      </rPr>
      <t>during / after solution implementation.</t>
    </r>
  </si>
  <si>
    <r>
      <t xml:space="preserve">Solution formal / standard cloud incident response plans </t>
    </r>
    <r>
      <rPr>
        <b/>
        <sz val="8"/>
        <rFont val="Arial"/>
        <family val="2"/>
      </rPr>
      <t>NOT</t>
    </r>
    <r>
      <rPr>
        <sz val="8"/>
        <rFont val="Arial"/>
        <family val="2"/>
      </rPr>
      <t xml:space="preserve"> provided not available.</t>
    </r>
  </si>
  <si>
    <t>C27</t>
  </si>
  <si>
    <t>Cloud Security Standard
CSP’s shall user software-defined security to automate security controls.</t>
  </si>
  <si>
    <t>Indicate whether your solution supports software-defined security.
- Provide relevant evidence re modules, screenshots, manuals etc…</t>
  </si>
  <si>
    <t>Solution supports software-defined security.</t>
  </si>
  <si>
    <t>Solution supports software-defined security, but requires development or customization.</t>
  </si>
  <si>
    <r>
      <t xml:space="preserve">Solution does </t>
    </r>
    <r>
      <rPr>
        <b/>
        <sz val="8"/>
        <rFont val="Arial"/>
        <family val="2"/>
      </rPr>
      <t>NOT</t>
    </r>
    <r>
      <rPr>
        <sz val="8"/>
        <rFont val="Arial"/>
        <family val="2"/>
      </rPr>
      <t xml:space="preserve"> support software-defined security</t>
    </r>
  </si>
  <si>
    <t>C29</t>
  </si>
  <si>
    <t>Cloud Security Standard
Data loss prevention (DLP) shall be employed, this is more applicable to SaaS than PaaS and IaaS.</t>
  </si>
  <si>
    <t>Indicate whether your solution employs DLP.
- Provide relevant evidence re modules, screenshots, manuals etc…</t>
  </si>
  <si>
    <t>Solution employs DLP.</t>
  </si>
  <si>
    <t>Solution employs DLP, but requires development or customization.</t>
  </si>
  <si>
    <r>
      <t xml:space="preserve">Solution does </t>
    </r>
    <r>
      <rPr>
        <b/>
        <sz val="8"/>
        <rFont val="Arial"/>
        <family val="2"/>
      </rPr>
      <t>NOT</t>
    </r>
    <r>
      <rPr>
        <sz val="8"/>
        <rFont val="Arial"/>
        <family val="2"/>
      </rPr>
      <t xml:space="preserve"> employ DLP.</t>
    </r>
  </si>
  <si>
    <t>C30</t>
  </si>
  <si>
    <t>Cloud Security Standard
Tokenization mechanism for sensitive data such credit, debit card and PII shall be employed.</t>
  </si>
  <si>
    <t>Indicate whether your solution supports tokenisation.
- Provide relevant evidence re modules, screenshots, manuals etc…</t>
  </si>
  <si>
    <t>Solution supports tokenisation.</t>
  </si>
  <si>
    <t>Solution supports tokenisation, but requires development or customization.</t>
  </si>
  <si>
    <r>
      <t xml:space="preserve">Solution does </t>
    </r>
    <r>
      <rPr>
        <b/>
        <sz val="8"/>
        <rFont val="Arial"/>
        <family val="2"/>
      </rPr>
      <t>NOT</t>
    </r>
    <r>
      <rPr>
        <sz val="8"/>
        <rFont val="Arial"/>
        <family val="2"/>
      </rPr>
      <t xml:space="preserve"> support tokenisation.</t>
    </r>
  </si>
  <si>
    <t>C31</t>
  </si>
  <si>
    <t>Cloud Security Standard
CSP’s shall use strong authentication and MFA (multi-factor authentication).
Strong authentication types:
1. MFA
2. 2FA (two factor authentication)
3. Biometrics
4. OTPs
5. Passwordless
6. Adaptive
7. Cryptographic challenge
8. JWT (Jason web tokens)
9. Certificate-based
10. Token
11. Continuous
12. Authenticator app
13. LDAP</t>
  </si>
  <si>
    <t>Indicate what types of strong authentication the solution supports.
- Provide relevant evidence re modules, screenshots, manuals etc…</t>
  </si>
  <si>
    <t>Solution supports all 13 strong authentication types (see requirement in column C)</t>
  </si>
  <si>
    <r>
      <rPr>
        <sz val="8"/>
        <rFont val="Arial"/>
        <family val="2"/>
      </rPr>
      <t>XYZ move detail to requirement in column C.</t>
    </r>
    <r>
      <rPr>
        <sz val="8"/>
        <color rgb="FF003896"/>
        <rFont val="Arial"/>
        <family val="2"/>
      </rPr>
      <t xml:space="preserve">
Security Team to give guidance</t>
    </r>
  </si>
  <si>
    <t>Solution excludes 3 or more strong authentication types (see requirement in column C)</t>
  </si>
  <si>
    <t>Solution excludes MFA</t>
  </si>
  <si>
    <t>C32</t>
  </si>
  <si>
    <t>Cloud Security Standard
MFA shall be used for all external cloud user accounts.</t>
  </si>
  <si>
    <t>Indicate whether your solution supports MFA for all external user accounts.
- Provide relevant evidence re modules, screenshots, manuals etc…</t>
  </si>
  <si>
    <t>Solution supports MFA for all external user accounts.</t>
  </si>
  <si>
    <t>Solution supports MFA for all external user accounts, but requires development or customization.</t>
  </si>
  <si>
    <r>
      <t xml:space="preserve">Solution does </t>
    </r>
    <r>
      <rPr>
        <b/>
        <sz val="8"/>
        <rFont val="Arial"/>
        <family val="2"/>
      </rPr>
      <t>NOT</t>
    </r>
    <r>
      <rPr>
        <sz val="8"/>
        <rFont val="Arial"/>
        <family val="2"/>
      </rPr>
      <t xml:space="preserve"> support MFA for all external user accounts.</t>
    </r>
  </si>
  <si>
    <t>C33</t>
  </si>
  <si>
    <t>Cloud Security Requirements
The cloud service shall be able to integrate with existing
Eskom’s identity provider (IdP) and Multi Factor Authentication
(MFA) to enable Single sign-on (SSO).
Note:
- Eskom's existing IdP is Microsoft Active Directory.</t>
  </si>
  <si>
    <t>Indicate whether your solution will be able to integrate with Eskom's existing identity provider and MFA to enable SSO.
- Provide relevant evidence re modules, screenshots, manuals etc…</t>
  </si>
  <si>
    <t xml:space="preserve">Solution is able to integrate with Eskom's existing identity provider and MFA to enable SSO.
</t>
  </si>
  <si>
    <t>Solution is able to integrate with Eskom's existing identity provider and MFA to enable SSO but requires development or customisation.</t>
  </si>
  <si>
    <r>
      <t xml:space="preserve">Solution is </t>
    </r>
    <r>
      <rPr>
        <b/>
        <sz val="8"/>
        <rFont val="Arial"/>
        <family val="2"/>
      </rPr>
      <t>NOT</t>
    </r>
    <r>
      <rPr>
        <sz val="8"/>
        <rFont val="Arial"/>
        <family val="2"/>
      </rPr>
      <t xml:space="preserve"> able to integrate with Eskom's existing identity provider and MFA to enable SSO.</t>
    </r>
  </si>
  <si>
    <t>C34</t>
  </si>
  <si>
    <t>Cloud Security Requirements
Role base access control (RBAC) shall be employed.</t>
  </si>
  <si>
    <t>Indicate whether your solution can employ RBAC.
- Provide relevant evidence re modules, screenshots, manuals etc…</t>
  </si>
  <si>
    <t xml:space="preserve">Solution is able to employ RBAC.
</t>
  </si>
  <si>
    <t>Solution is able to employ RBAC, but requires development or customization.</t>
  </si>
  <si>
    <t>Solution is NOT able to employ RBAC.</t>
  </si>
  <si>
    <t>C36</t>
  </si>
  <si>
    <t>Cloud Security Requirements
The Cloud Service shall provide e-Discovery capability to
identify, collect and produce electronically stored
information (ESI) in response to a request for production in a
lawsuit or investigation as part of the cloud services offered.</t>
  </si>
  <si>
    <t>Indicate whether your solution provides an e-Discovery capability.
- Provide relevant evidence re modules, screenshots, manuals etc…</t>
  </si>
  <si>
    <t xml:space="preserve">Solution provides an e-Discovery capability
</t>
  </si>
  <si>
    <t>Solution provides an e-Discovery capability, but requires development or customization</t>
  </si>
  <si>
    <r>
      <t xml:space="preserve">Solution does </t>
    </r>
    <r>
      <rPr>
        <b/>
        <sz val="8"/>
        <rFont val="Arial"/>
        <family val="2"/>
      </rPr>
      <t>NOT</t>
    </r>
    <r>
      <rPr>
        <sz val="8"/>
        <rFont val="Arial"/>
        <family val="2"/>
      </rPr>
      <t xml:space="preserve"> provide an e-Discovery capability</t>
    </r>
  </si>
  <si>
    <t>C37</t>
  </si>
  <si>
    <t>Cloud Security Requirements
Database Security tools shall be employed to provide
regulatory compliance, encryption, key management, granular
access controls, flexible data masking, comprehensive activity
monitoring, and sophisticated auditing capabilities.</t>
  </si>
  <si>
    <t>Indicate whether your solution is able to deploy Database Security tools.
- Provide relevant evidence re modules, screenshots, manuals etc…</t>
  </si>
  <si>
    <t xml:space="preserve">Solution is able to deploy Database Security tools.
</t>
  </si>
  <si>
    <t>?? Non-functional?? Security??</t>
  </si>
  <si>
    <t>Indictae the Service Deployment Model that is being proposed (Private, Public or Hybrid)</t>
  </si>
  <si>
    <t>C3</t>
  </si>
  <si>
    <t>COSTING
Contractual and Licencing Models</t>
  </si>
  <si>
    <t>XYZ??</t>
  </si>
  <si>
    <r>
      <rPr>
        <b/>
        <sz val="8"/>
        <rFont val="Arial"/>
        <family val="2"/>
      </rPr>
      <t xml:space="preserve">Please provide / specfiy … </t>
    </r>
    <r>
      <rPr>
        <sz val="8"/>
        <rFont val="Arial"/>
        <family val="2"/>
      </rPr>
      <t>Commercial Contractual and Licencing Model (Fixed Contract, Subscription or Consumptive)?</t>
    </r>
  </si>
  <si>
    <t>XYZ</t>
  </si>
  <si>
    <t>Is the availibility of the cloud service dependent on any 3rd party and what risks are associated with this dependency?
- Provide details re cloud service dependencies, associated risks and risk mitigation actions.
- Provide relevant evidence re reference documents, modules, screenshots, manuals etc…</t>
  </si>
  <si>
    <r>
      <rPr>
        <b/>
        <sz val="8"/>
        <rFont val="Arial"/>
        <family val="2"/>
      </rPr>
      <t>No</t>
    </r>
    <r>
      <rPr>
        <sz val="8"/>
        <rFont val="Arial"/>
        <family val="2"/>
      </rPr>
      <t xml:space="preserve"> - availibity of the cloud service is </t>
    </r>
    <r>
      <rPr>
        <b/>
        <sz val="8"/>
        <rFont val="Arial"/>
        <family val="2"/>
      </rPr>
      <t>NOT</t>
    </r>
    <r>
      <rPr>
        <sz val="8"/>
        <rFont val="Arial"/>
        <family val="2"/>
      </rPr>
      <t xml:space="preserve"> dependent on a 3rd party i.e. confirmation that the service provider is fully accountable for the services invovled.
</t>
    </r>
  </si>
  <si>
    <r>
      <rPr>
        <b/>
        <sz val="8"/>
        <rFont val="Arial"/>
        <family val="2"/>
      </rPr>
      <t>Yes</t>
    </r>
    <r>
      <rPr>
        <sz val="8"/>
        <rFont val="Arial"/>
        <family val="2"/>
      </rPr>
      <t xml:space="preserve"> - availibity of the cloud service is NOT dependent on a 3rd party.
- provided details explaining what the 3rd party risks are and how the risks will be mitigated so as to limit exposure to Eskom.</t>
    </r>
  </si>
  <si>
    <t xml:space="preserve">No relevent information provided
OR
No detail provided
</t>
  </si>
  <si>
    <r>
      <t xml:space="preserve">Cloud Policy
2.2.4.2 Eskom shall ensure that SLAs contain the high availability requirements (as per the Business Impact Assessment done by Eskom) for applications and data in the event of planned or unplanned disruptions or outages.
Note:
</t>
    </r>
    <r>
      <rPr>
        <b/>
        <sz val="8"/>
        <rFont val="Arial"/>
        <family val="2"/>
      </rPr>
      <t>Eskom required 24/7, 99.999999% availability with full (100%@8 Hours + Off site redundancy and backup) disaster recovery plans and regular testing.</t>
    </r>
  </si>
  <si>
    <r>
      <t xml:space="preserve">Solution Performance Requirement
Eskom shall ensure that SLAs contain the associated system, integration and data exchange performance requirements for applications and data transfers.
Note:
</t>
    </r>
    <r>
      <rPr>
        <b/>
        <sz val="8"/>
        <rFont val="Arial"/>
        <family val="2"/>
      </rPr>
      <t>Eskom requires the cloud service to support real-time (&lt;1 sec) and/or a  range of defined interaction/execution times that can be achieved (through resouce allocation in the cloud management suite) based on the prevailing requirement of the business into the future.</t>
    </r>
  </si>
  <si>
    <t>Indicate if the Cloud Service (availability, latency, performance, integration) supports real-time, semi-realtime or delayed interactive data exchange?
- Provide relevant evidence re reference documents, modules, screenshots, manuals etc…</t>
  </si>
  <si>
    <r>
      <t xml:space="preserve">The cloud service supports </t>
    </r>
    <r>
      <rPr>
        <b/>
        <sz val="8"/>
        <rFont val="Arial"/>
        <family val="2"/>
      </rPr>
      <t>real-time (&lt;1 sec) and/or a  range of defined interaction/execution times</t>
    </r>
    <r>
      <rPr>
        <sz val="8"/>
        <rFont val="Arial"/>
        <family val="2"/>
      </rPr>
      <t xml:space="preserve"> that can be achieved (through resouce allocation in the cloud management suite) based on the prevailing requirement of the business into the future.
</t>
    </r>
  </si>
  <si>
    <r>
      <t xml:space="preserve">The cloud service </t>
    </r>
    <r>
      <rPr>
        <b/>
        <u/>
        <sz val="8"/>
        <rFont val="Arial"/>
        <family val="2"/>
      </rPr>
      <t>does NOT support real-time</t>
    </r>
    <r>
      <rPr>
        <b/>
        <sz val="8"/>
        <rFont val="Arial"/>
        <family val="2"/>
      </rPr>
      <t xml:space="preserve"> (&lt;1 sec) </t>
    </r>
    <r>
      <rPr>
        <b/>
        <u/>
        <sz val="8"/>
        <rFont val="Arial"/>
        <family val="2"/>
      </rPr>
      <t>but does suport</t>
    </r>
    <r>
      <rPr>
        <b/>
        <sz val="8"/>
        <rFont val="Arial"/>
        <family val="2"/>
      </rPr>
      <t xml:space="preserve"> a range of defined interaction/execution times</t>
    </r>
    <r>
      <rPr>
        <sz val="8"/>
        <rFont val="Arial"/>
        <family val="2"/>
      </rPr>
      <t xml:space="preserve"> that can be achieved  (through resouce allocation in the cloud management suite) based on the prevailing requirement of the business into the future.
</t>
    </r>
  </si>
  <si>
    <t>Backup of data and metadata is not included as part of the service offering.</t>
  </si>
  <si>
    <t xml:space="preserve">CSP is able to destroy data/metadata according to rention/diposition policies and NIST guideline.
</t>
  </si>
  <si>
    <r>
      <t xml:space="preserve">CSP is </t>
    </r>
    <r>
      <rPr>
        <b/>
        <sz val="8"/>
        <rFont val="Arial"/>
        <family val="2"/>
      </rPr>
      <t>NOT</t>
    </r>
    <r>
      <rPr>
        <sz val="8"/>
        <rFont val="Arial"/>
        <family val="2"/>
      </rPr>
      <t xml:space="preserve"> able to destroy data/metadata according to retention/diposition policies and NIST guidelines.</t>
    </r>
  </si>
  <si>
    <t>Cloud Policy
2.2.6.4 Eskom must ensure that the CSP’s maintain the same levels of security and controls required across all platforms and data centers.
Cloud Data Standard
Baseline Security Control
Access to Cloud environment – access control to Cloud environments, as well as the ingress and egress movement of data, will be done using existing mechanisms and other complementary Cloud-specific mechanisms. Do not enable direct remote access to Cloud VMs from the Internet, but enforce the use of VPNs.</t>
  </si>
  <si>
    <t>ESKOM data will not be secured during procedures of transfer into and out of the system</t>
  </si>
  <si>
    <t>C11</t>
  </si>
  <si>
    <t>SECURITY, CONFIDENTIALITY AND PRIVACY: Accreditation and Auditing - Security</t>
  </si>
  <si>
    <t>Cloud Policy
2.2.10.3 Eskom must ensure the adoption of common and open standards and that the overall integrity and ease of integration with core systems are maintained.
2.2.11.1 Eskom must ensure contractually that the CSP complies with all applicable information security policies and standards.
Cloud Data Standard
B. Information that is classified as Confidential can be processed and/or stored in a Cloud environment subject to the Baseline Security Controls for the Cloud and the following minimum conditions:
1.  The Cloud Service Provider (CSP) must have the required certifications as determined in the Eskom Cloud Security Standard.</t>
  </si>
  <si>
    <t>Please list all relevant Cloud Compliance and Audit reports for your Cloud Service. (e.g. ISO27018, SOC2 etc.)</t>
  </si>
  <si>
    <t xml:space="preserve">ISO27018, SOC2, X, Y, Z
</t>
  </si>
  <si>
    <t>Security Architecture to give guidance of acceptable standards</t>
  </si>
  <si>
    <r>
      <rPr>
        <sz val="8"/>
        <color rgb="FF003896"/>
        <rFont val="Arial"/>
        <family val="2"/>
      </rPr>
      <t>Security Team to give guidance</t>
    </r>
    <r>
      <rPr>
        <sz val="8"/>
        <color theme="1"/>
        <rFont val="Arial"/>
        <family val="2"/>
      </rPr>
      <t xml:space="preserve">
Requirement:
- XYZ listing of "acceptable" Cloud Compliance and Audit reports...
Returnable:
See column D
XYZ Evidence??
Scoring:
- Report A
- Report B
- Report C
- Report D...
</t>
    </r>
  </si>
  <si>
    <t xml:space="preserve">ISO27018,SOC2
</t>
  </si>
  <si>
    <t>ISO27018</t>
  </si>
  <si>
    <t>None</t>
  </si>
  <si>
    <t>DATA LOCATION AND CROSS-BORDER DATA FLOWS: Data Locaton - Data</t>
  </si>
  <si>
    <t xml:space="preserve">Hosted in South Africa and European Union
</t>
  </si>
  <si>
    <r>
      <t xml:space="preserve">Requirement:
Eskom requires the cloud service to be hosted in countries XYZ. preferably South Africa.
(Eskom requires that the service NOT be hosted in countries XYZ)
Returnable:
Indicate where the service will or can be hosted
Scoring:
- Hosted in SA (100%)
- Hosted in other acceptable countries (50%)
- Hosted in unacceptable countires (0%)
</t>
    </r>
    <r>
      <rPr>
        <sz val="8"/>
        <color rgb="FF003896"/>
        <rFont val="Arial"/>
        <family val="2"/>
      </rPr>
      <t>Preffered Yes In case of No the only other acceptable area is the EU.  This is specific per solution and guidance should be taken from the Cloud Risk Assessment.
For this solution EU could be used if the data classification are reviewed &amp; changed - SME indicated it possible but business would have to make some comprimises with associated risks.</t>
    </r>
  </si>
  <si>
    <t xml:space="preserve">Hosted in European Union only
</t>
  </si>
  <si>
    <t>Hosted elsewhere</t>
  </si>
  <si>
    <t>Cloud Policy
2.2.6.4 Eskom must ensure that the CSP’s maintain the same levels of security and controls required across all platforms and data centers.</t>
  </si>
  <si>
    <t>Indicate if Ekom will be notified in case of a security breach or system malfunction?
- Provide relevant evidence re notification methods, reference documents, modules, screenshots, manuals etc…</t>
  </si>
  <si>
    <t>C17</t>
  </si>
  <si>
    <t>Cloud Security Standard
CSP’s shall have a valid third-party attestation report such as SOC 1 Type II, SOC 2 Type II reports and bridge letter, where the SOC report is older than six (6) for all cloud services that store and process financial information and PII and IP respectively.</t>
  </si>
  <si>
    <t xml:space="preserve">Please provide your 3rd party attenstaton SOC reports(s).
</t>
  </si>
  <si>
    <t>For each report provided below award the corresponding score cumulatively.</t>
  </si>
  <si>
    <r>
      <rPr>
        <b/>
        <sz val="8"/>
        <rFont val="Arial"/>
        <family val="2"/>
      </rPr>
      <t xml:space="preserve">XYZ which of these are actually needed / manadatory.
Heiny:
</t>
    </r>
    <r>
      <rPr>
        <sz val="8"/>
        <rFont val="Arial"/>
        <family val="2"/>
      </rPr>
      <t xml:space="preserve">The more types that are offered the better the score.
The exception is when a cetain type/s of report is mandatory - in this case the result is 0.
No reports = 0
</t>
    </r>
    <r>
      <rPr>
        <sz val="8"/>
        <color rgb="FF002060"/>
        <rFont val="Arial"/>
        <family val="2"/>
      </rPr>
      <t>Security Team to give guidance</t>
    </r>
    <r>
      <rPr>
        <sz val="8"/>
        <rFont val="Arial"/>
        <family val="2"/>
      </rPr>
      <t xml:space="preserve">
</t>
    </r>
    <r>
      <rPr>
        <b/>
        <sz val="8"/>
        <rFont val="Arial"/>
        <family val="2"/>
      </rPr>
      <t xml:space="preserve">
</t>
    </r>
    <r>
      <rPr>
        <sz val="8"/>
        <rFont val="Arial"/>
        <family val="2"/>
      </rPr>
      <t xml:space="preserve">
</t>
    </r>
  </si>
  <si>
    <t>SOC 1 Type 1 report provided</t>
  </si>
  <si>
    <t>SOC 1 Type 2 report provided</t>
  </si>
  <si>
    <t>SOC 2 Type 1 report provided</t>
  </si>
  <si>
    <t>SOC 2 Type 2 report provided</t>
  </si>
  <si>
    <t>SOC 2 Type 2+ report provided</t>
  </si>
  <si>
    <t>Cloud Security Standard
CSP’s shall always prepare for graceful failure in case of a particular CSP’s outage.
This can include plans for interoperability and portability with other CSP’s or a different region with your current provider
Note:
The CSP outage plan should align with Eskom's recovery objectives, addresses higher frequency transient failures, has a dependency mapped set of risks &amp; mitigations, caters for continious availability (limits user-visible impacts), architectural resilience patterns across all domains and includes automated DR.</t>
  </si>
  <si>
    <t>Cloud Security Standard
CSP’s shall offer identity ecosystem, such as:
1. Policy Enforcement Points (PEP-as-aservice)
2. Policy Decision Points (PDP-as-a-service)
3. Policy Access Points (PAP-as-aservice)
...services that provide Eskom with Identity, services that provide attributes (e.g., Multi-Factor Authentication), and web-based single sign-on (SSO).</t>
  </si>
  <si>
    <t>Indicate the key ideintity ecosystem components in your solution viz. PEP, PDP and PAP.
- Provide relevant evidence re modules, screenshots, manuals etc…</t>
  </si>
  <si>
    <r>
      <rPr>
        <b/>
        <sz val="8"/>
        <rFont val="Arial"/>
        <family val="2"/>
      </rPr>
      <t xml:space="preserve">Heiny: Requirement, returnable and scoring should directly align... 
</t>
    </r>
    <r>
      <rPr>
        <sz val="8"/>
        <color rgb="FF003896"/>
        <rFont val="Arial"/>
        <family val="2"/>
      </rPr>
      <t>Security Team to give guidance</t>
    </r>
    <r>
      <rPr>
        <b/>
        <sz val="8"/>
        <rFont val="Arial"/>
        <family val="2"/>
      </rPr>
      <t xml:space="preserve">
</t>
    </r>
    <r>
      <rPr>
        <sz val="8"/>
        <rFont val="Arial"/>
        <family val="2"/>
      </rPr>
      <t xml:space="preserve">
The solution design &amp; outage plan is aligned with Eskom's recovery objectives, addresses higher frequency transient failures, has a dependency mapped set of risks &amp; mitigations, caters for continious availability (limits user-visible impacts), architectural resilience pattterns across all domains and includes automated DR.</t>
    </r>
  </si>
  <si>
    <t>C20</t>
  </si>
  <si>
    <t>Cloud Security Standard
CSP’s shall ensure there is strong perimeter security, web application firewall (WAF) for application programable interface (API) gateways, web applications and web consoles</t>
  </si>
  <si>
    <t>Describe your plans in terms of WAF, API gateways, Web apps &amp; web consoles</t>
  </si>
  <si>
    <t>Strong Perimeter Security:
1. Network segmentation (isolating sensitive areas)
2. Firewalls (network and host-based) to control incoming/outgoing traffic
3. Intrusion Detection/Prevention Systems (IDS/IPS) to monitor and block suspicious activity
4. Virtual Private Networks (VPNs) for secure remote access
5. Secure access controls (multi-factor authentication, role-based access control)
Web Application Firewall (WAF):
1. Deploy WAF in front of public-facing web applications
2. Configure WAF to protect against common web attacks (OWASP Top 10)
3. Regularly update WAF signatures and rules
4. Monitor WAF logs for suspicious activity
5. Integrate WAF with other security components (IDS/IPS, SIEM)</t>
  </si>
  <si>
    <t>Cloud Security Standard
CSP’s shall employ Intrusion Detection/Prevention System (IDS/IPS). CSP’s shall employ Distributed Denial of Service (DDoS) protection mechanism. CSP’s shall employ cloud-based Security Information &amp; Event Management (SIEM).
Note:
IDS/IPS features for Early Threat Detection, Anomaly-based detection, Hybrid detection, Log anlysis, Protocl behaviour, Threat Intelligence and Deep Packet Inspection. Inclusion for Anti-DDOS to be scalable, flexible and reliable with the specific feature to address larhe network sizes with sufficient bandwidth to absorb attacks and to perform monitoring and notification services. 
SIEM capabilities to handle incident response, compliance monitoring, log management, and have options for long term event storage.</t>
  </si>
  <si>
    <t xml:space="preserve">Indicate which cloud security attack prevention mechanisms your solution employs.
- Provide design ito cloud security attack prevention mecahnisms.
- Provide relevant evidence re modules, screenshots, manuals etc…
</t>
  </si>
  <si>
    <t xml:space="preserve">Design incluides IDS/IPS features for Early Threat Detection, Anomaly-based detection, Hybrid detection, Log anlysis, Protocl behaviour, Threat Intelligence and Deep Packet Inspection. Inclusion for Anti-DDOS to be scalable, flexible and reliable with the specific feature to address larhe network sizes with sufficient bandwidth to absorb attacks and to perform monitoring and notification services. Inclusion of SIEM capabilities to handle incident response, compliance monitoring, log management, and have options for long term event storage.
</t>
  </si>
  <si>
    <t>Design incluides IDS/IPS features for Early Threat Detection, Anomaly-based detection, Hybrid detection, Log anlysis, Protocl behaviour, Threat Intelligence and Deep Packet Inspection. Inclusion for Anti-DDOS to be scalable, flexible and reliable with the specific feature to address larhe network sizes with sufficient bandwidth to absorb attacks and to perform monitoring and notification services. Inclusion of SIEM capabilities to handle incident response, compliance monitoring, log management, and have options for long term event storage.</t>
  </si>
  <si>
    <r>
      <t xml:space="preserve">Design excluides one or more of IDS/IPS features for Early Threat Detection, Anomaly-based detection, Hybrid detection, Log anlysis, Protocl behaviour, Threat Intelligence and Deep Packet Inspection. Exclusion of one ore more of Anti-DDOS to be scalable, flexible and reliable with the specific feature to address larhe network sizes with sufficient bandwidth to absorb attacks and to perform monitoring and notification services. </t>
    </r>
    <r>
      <rPr>
        <b/>
        <sz val="8"/>
        <rFont val="Arial"/>
        <family val="2"/>
      </rPr>
      <t>Exclusion</t>
    </r>
    <r>
      <rPr>
        <sz val="8"/>
        <rFont val="Arial"/>
        <family val="2"/>
      </rPr>
      <t xml:space="preserve"> of one ore more of SIEM capabilities to handle incident response, compliance monitoring, log management, and have options for long term event storage.</t>
    </r>
  </si>
  <si>
    <t>Indicate if your solution allows realtime data synchronisation or off premise replication (another cloud platform hosted in a different region) to minimise downtime.
- Provide relevant evidence re modules, screenshots, manuals etc…</t>
  </si>
  <si>
    <t>1. Solution allows realtime data syncronisation.</t>
  </si>
  <si>
    <t>Indicate if your solution has formal cloud incident response plans that cover the different stages of an incident handlong process?
- Provide incident response plans.
- Provide relevant evidence re modules, screenshots, manuals etc…</t>
  </si>
  <si>
    <t>Solution formal / standard cloud incident reponse plans NOT provided not available.</t>
  </si>
  <si>
    <t>Cloud Security Standard
CSP’s shall use strong authentication and MFA (multi-factor autentication).
Strong authentication types:
1. MFA
2. 2FA (two factor authentication)
3. Biometrics
4. OTPs
5. Passwordless
6. Adaptive
7. Cryptographic challenge
8. JWT (Jason web tokens)
9. Certificate-based
10. Token
11. Continuous
12. Authenticator app
13. LDAP</t>
  </si>
  <si>
    <t>Soluton excludes MFA</t>
  </si>
  <si>
    <t>C35</t>
  </si>
  <si>
    <t>Cloud Security Requirements
The Cloud Service shall support the prevailing enterprise
services bus (ESB), application programmable interfaces
(API’s) and Integration Platform as a Service (iPaaS) platforms
for security, logging and monitoring for both on-prem, hybrid
cloudand multi-cloud environments such as IBM App
Connect, TIBCO Cloud Integration (including Business Works
and Scribe), WSO2 Carbon, Software AG web Methods,
Neuron ESB, Apache Camel, WebSphere Message Broker,
RSSBus Connect, Azure Service Bus and Oracle Service Bus,
Saleforce Mulesoft, IBM DataPower, Oracle API Platform,
Cyclr, DreamFactory JDBC, Microsoft SQL Server Integration
Services (SSIS), SAS Data Integration Studio, Integration
Adaptor DirXML, Oracle X AI Services, SAP Business Process
Automation, SAP NetWeaver, Oracle Fusion Middleware,
Connect Direct, HP Data Protector, WINSCP, FreeFileSync,
SAP PI/PO, SAP CPI, HP SOA Systinet, JCAPS, Cloud Pak
for Data, K2, Microsoft Power Automate and Zapier but not
limited to these listed.</t>
  </si>
  <si>
    <t>Does your solution include support for Eskom's prevailing enterprise services bus (ESB), application programmable interfaces
(API’s) and Integration Platform as a Service (iPaaS) platforms
for security, logging and monitoring for both on-prem, hybrid
cloudand multi-cloud environments such as IBM App
Connect, TIBCO Cloud Integration (including Business Works
and Scribe), WSO2 Carbon, Software AG web Methods,
Neuron ESB, Apache Camel, WebSphere Message Broker,
RSSBus Connect, Azure Service Bus and Oracle Service Bus,
Saleforce Mulesoft, IBM DataPower, Oracle API Platform,
Cyclr, DreamFactory JDBC, Microsoft SQL Server Integration
Services (SSIS), SAS Data Integration Studio, Integration
Adaptor DirXML, Oracle X AI Services, SAP Business Process
Automation, SAP NetWeaver, Oracle Fusion Middleware,
Connect Direct, HP Data Protector, WINSCP, FreeFileSync,
SAP PI/PO, SAP CPI, HP SOA Systinet, JCAPS, Cloud Pak
for Data, K2, Microsoft Power Automate and Zapier but not
limited to these listed.</t>
  </si>
  <si>
    <t>XYZ not limited to these listed…
XYZ Perhaps… score cumulatively...
Solution supports Eskom's existing...
1. ESB
2. APIs
3. iPaaS
4. …
XYZ Split into second question re other unlisted services…</t>
  </si>
  <si>
    <t>Integration Team to provide guidance</t>
  </si>
  <si>
    <t>Solution is able to deploy Database Security tools, but requires devbelopment or customization.</t>
  </si>
  <si>
    <t>Solution is NOT able to deploy Database Security tools.</t>
  </si>
  <si>
    <t>Eskom Group IT:  Technical Evaluation Criteria
Category: Demonstration</t>
  </si>
  <si>
    <t>Demonstration Threshold:</t>
  </si>
  <si>
    <r>
      <t xml:space="preserve">Demonstration Brief - </t>
    </r>
    <r>
      <rPr>
        <sz val="8"/>
        <color theme="1"/>
        <rFont val="Arial"/>
        <family val="2"/>
      </rPr>
      <t>Explain to the Vendor what must be included in their presentation</t>
    </r>
  </si>
  <si>
    <t>Demo_VW1</t>
  </si>
  <si>
    <r>
      <t xml:space="preserve">Eskom requires the </t>
    </r>
    <r>
      <rPr>
        <b/>
        <sz val="8"/>
        <rFont val="Arial"/>
        <family val="2"/>
      </rPr>
      <t>"buyer / business portal"</t>
    </r>
    <r>
      <rPr>
        <sz val="8"/>
        <rFont val="Arial"/>
        <family val="2"/>
      </rPr>
      <t xml:space="preserve"> to have a </t>
    </r>
    <r>
      <rPr>
        <b/>
        <sz val="8"/>
        <rFont val="Arial"/>
        <family val="2"/>
      </rPr>
      <t>landing page</t>
    </r>
    <r>
      <rPr>
        <sz val="8"/>
        <rFont val="Arial"/>
        <family val="2"/>
      </rPr>
      <t xml:space="preserve"> typically showing aggregated wheeling information and basic customer information etc. 
</t>
    </r>
  </si>
  <si>
    <t xml:space="preserve">In your "portal", demonstrate your default portal landing page.
</t>
  </si>
  <si>
    <r>
      <t xml:space="preserve">Demonstrated default portal landing page </t>
    </r>
    <r>
      <rPr>
        <b/>
        <u/>
        <sz val="8"/>
        <rFont val="Arial"/>
        <family val="2"/>
      </rPr>
      <t>with</t>
    </r>
    <r>
      <rPr>
        <sz val="8"/>
        <rFont val="Arial"/>
        <family val="2"/>
      </rPr>
      <t xml:space="preserve"> aggregated wheeling information and basic customer information. </t>
    </r>
  </si>
  <si>
    <r>
      <t xml:space="preserve">Demonstrated default portal landing page </t>
    </r>
    <r>
      <rPr>
        <b/>
        <u/>
        <sz val="8"/>
        <rFont val="Arial"/>
        <family val="2"/>
      </rPr>
      <t>without</t>
    </r>
    <r>
      <rPr>
        <sz val="8"/>
        <rFont val="Arial"/>
        <family val="2"/>
      </rPr>
      <t xml:space="preserve"> aggregated wheeling information and basic customer information
or
No default portal landing demonstration done.
</t>
    </r>
  </si>
  <si>
    <t>Demo_VW2</t>
  </si>
  <si>
    <r>
      <t xml:space="preserve">Eskom requires a </t>
    </r>
    <r>
      <rPr>
        <b/>
        <u/>
        <sz val="8"/>
        <rFont val="Arial"/>
        <family val="2"/>
      </rPr>
      <t>user (or Eskom application support)</t>
    </r>
    <r>
      <rPr>
        <sz val="8"/>
        <rFont val="Arial"/>
        <family val="2"/>
      </rPr>
      <t xml:space="preserve"> </t>
    </r>
    <r>
      <rPr>
        <b/>
        <sz val="8"/>
        <rFont val="Arial"/>
        <family val="2"/>
      </rPr>
      <t>configurable "buyer / business portal" landing page</t>
    </r>
    <r>
      <rPr>
        <sz val="8"/>
        <rFont val="Arial"/>
        <family val="2"/>
      </rPr>
      <t xml:space="preserve"> that should cater for different types of users:
e.g.  
</t>
    </r>
    <r>
      <rPr>
        <b/>
        <sz val="8"/>
        <rFont val="Arial"/>
        <family val="2"/>
      </rPr>
      <t xml:space="preserve">1a. Eskom landing page - management view:
</t>
    </r>
    <r>
      <rPr>
        <sz val="8"/>
        <rFont val="Arial"/>
        <family val="2"/>
      </rPr>
      <t xml:space="preserve">High-level summary of number of accounts, number of customer premises, bills, energy wheeled, energy offset (credited), energy bought by Eskom etc.
</t>
    </r>
    <r>
      <rPr>
        <b/>
        <sz val="8"/>
        <rFont val="Arial"/>
        <family val="2"/>
      </rPr>
      <t xml:space="preserve">1b Eskom landing page - user view: 
</t>
    </r>
    <r>
      <rPr>
        <sz val="8"/>
        <rFont val="Arial"/>
        <family val="2"/>
      </rPr>
      <t xml:space="preserve">Task (or process) status, alerts and summary of energy wheeling claims for a particular business area.
</t>
    </r>
    <r>
      <rPr>
        <b/>
        <sz val="8"/>
        <rFont val="Arial"/>
        <family val="2"/>
      </rPr>
      <t xml:space="preserve">2. Buyer landing page:
</t>
    </r>
    <r>
      <rPr>
        <sz val="8"/>
        <rFont val="Arial"/>
        <family val="2"/>
      </rPr>
      <t>Basic customer information, customer energy wheeling configuration and summary of bills, energy wheeled, energy offset (credited), energy bought by Eskom etc.</t>
    </r>
  </si>
  <si>
    <r>
      <t xml:space="preserve">In your "portal", demonstrate how your portal landing page can be configured for different types of users and indicate how the portal landing page configuration is done.
</t>
    </r>
    <r>
      <rPr>
        <u/>
        <sz val="8"/>
        <rFont val="Arial"/>
        <family val="2"/>
      </rPr>
      <t>How portal landing pages are configured:</t>
    </r>
    <r>
      <rPr>
        <sz val="8"/>
        <rFont val="Arial"/>
        <family val="2"/>
      </rPr>
      <t xml:space="preserve">
- Configured by the users (or application support)
- Configured by the vendor 
- Development by the vendor or application support
- No configuration possible
</t>
    </r>
    <r>
      <rPr>
        <u/>
        <sz val="8"/>
        <rFont val="Arial"/>
        <family val="2"/>
      </rPr>
      <t xml:space="preserve">Definitions:
</t>
    </r>
    <r>
      <rPr>
        <b/>
        <sz val="8"/>
        <rFont val="Arial"/>
        <family val="2"/>
      </rPr>
      <t>Configuration</t>
    </r>
    <r>
      <rPr>
        <sz val="8"/>
        <rFont val="Arial"/>
        <family val="2"/>
      </rPr>
      <t xml:space="preserve"> = Configuration without development (coding), preferably done on the portal by visual object drag-and-drop or selection.
</t>
    </r>
    <r>
      <rPr>
        <b/>
        <sz val="8"/>
        <rFont val="Arial"/>
        <family val="2"/>
      </rPr>
      <t>Development</t>
    </r>
    <r>
      <rPr>
        <sz val="8"/>
        <rFont val="Arial"/>
        <family val="2"/>
      </rPr>
      <t xml:space="preserve"> = Extensive web development (coding) by the vendor or application support.
</t>
    </r>
  </si>
  <si>
    <r>
      <t xml:space="preserve">Demonstrated a fully </t>
    </r>
    <r>
      <rPr>
        <b/>
        <sz val="8"/>
        <rFont val="Arial"/>
        <family val="2"/>
      </rPr>
      <t>user (or application support) configurable</t>
    </r>
    <r>
      <rPr>
        <sz val="8"/>
        <rFont val="Arial"/>
        <family val="2"/>
      </rPr>
      <t xml:space="preserve"> portal landing page.</t>
    </r>
  </si>
  <si>
    <r>
      <t xml:space="preserve">Demonstrated </t>
    </r>
    <r>
      <rPr>
        <b/>
        <sz val="8"/>
        <rFont val="Arial"/>
        <family val="2"/>
      </rPr>
      <t>vendor configured</t>
    </r>
    <r>
      <rPr>
        <sz val="8"/>
        <rFont val="Arial"/>
        <family val="2"/>
      </rPr>
      <t xml:space="preserve">,  portal landing pages for different type of users e.g. Eskom and buyers. </t>
    </r>
  </si>
  <si>
    <r>
      <t xml:space="preserve">Demonstrated portal landing pages for different type of users, e.g. Eskom and buyers, that needs to be </t>
    </r>
    <r>
      <rPr>
        <b/>
        <sz val="8"/>
        <rFont val="Arial"/>
        <family val="2"/>
      </rPr>
      <t>developed (coded) by the vendor or application support.</t>
    </r>
  </si>
  <si>
    <r>
      <rPr>
        <b/>
        <sz val="8"/>
        <rFont val="Arial"/>
        <family val="2"/>
      </rPr>
      <t>No demonstration</t>
    </r>
    <r>
      <rPr>
        <sz val="8"/>
        <rFont val="Arial"/>
        <family val="2"/>
      </rPr>
      <t xml:space="preserve"> of portal landing pages for different types of users provided or </t>
    </r>
    <r>
      <rPr>
        <b/>
        <sz val="8"/>
        <rFont val="Arial"/>
        <family val="2"/>
      </rPr>
      <t>demonstration does not meet requirement.</t>
    </r>
  </si>
  <si>
    <t>Demo_VW3</t>
  </si>
  <si>
    <r>
      <t xml:space="preserve">Eskom requires the ability to </t>
    </r>
    <r>
      <rPr>
        <b/>
        <sz val="8"/>
        <rFont val="Arial"/>
        <family val="2"/>
      </rPr>
      <t>customize existing analytics dashboards</t>
    </r>
    <r>
      <rPr>
        <sz val="8"/>
        <rFont val="Arial"/>
        <family val="2"/>
      </rPr>
      <t xml:space="preserve"> in the buyer / business portal:
Using:
o Visual field / entity “drag and drop” functionality for general use.</t>
    </r>
    <r>
      <rPr>
        <b/>
        <sz val="8"/>
        <rFont val="Arial"/>
        <family val="2"/>
      </rPr>
      <t xml:space="preserve">
</t>
    </r>
  </si>
  <si>
    <r>
      <t>In your "portal", demonstrate how one would</t>
    </r>
    <r>
      <rPr>
        <b/>
        <sz val="8"/>
        <rFont val="Arial"/>
        <family val="2"/>
      </rPr>
      <t xml:space="preserve"> customize an existing analytics dashboard</t>
    </r>
    <r>
      <rPr>
        <sz val="8"/>
        <rFont val="Arial"/>
        <family val="2"/>
      </rPr>
      <t xml:space="preserve"> in your solution / app </t>
    </r>
    <r>
      <rPr>
        <b/>
        <sz val="8"/>
        <rFont val="Arial"/>
        <family val="2"/>
      </rPr>
      <t>"using visual field / entity drag and drop functionality."</t>
    </r>
  </si>
  <si>
    <r>
      <t xml:space="preserve">Demonstrated the </t>
    </r>
    <r>
      <rPr>
        <b/>
        <sz val="8"/>
        <rFont val="Arial"/>
        <family val="2"/>
      </rPr>
      <t>customization of an existing analytics dashboard "using visual field / entity drag and drop functionality."</t>
    </r>
  </si>
  <si>
    <r>
      <rPr>
        <b/>
        <sz val="8"/>
        <rFont val="Arial"/>
        <family val="2"/>
      </rPr>
      <t>No demonstration</t>
    </r>
    <r>
      <rPr>
        <sz val="8"/>
        <rFont val="Arial"/>
        <family val="2"/>
      </rPr>
      <t xml:space="preserve"> provided or</t>
    </r>
    <r>
      <rPr>
        <b/>
        <sz val="8"/>
        <rFont val="Arial"/>
        <family val="2"/>
      </rPr>
      <t xml:space="preserve"> demonstration does not meet requirement</t>
    </r>
  </si>
  <si>
    <t>Demo_VW4</t>
  </si>
  <si>
    <r>
      <t xml:space="preserve">Eskom requires the ability to </t>
    </r>
    <r>
      <rPr>
        <b/>
        <sz val="8"/>
        <rFont val="Arial"/>
        <family val="2"/>
      </rPr>
      <t>customize existing analytics dashboards</t>
    </r>
    <r>
      <rPr>
        <sz val="8"/>
        <rFont val="Arial"/>
        <family val="2"/>
      </rPr>
      <t xml:space="preserve"> in the</t>
    </r>
    <r>
      <rPr>
        <b/>
        <sz val="8"/>
        <rFont val="Arial"/>
        <family val="2"/>
      </rPr>
      <t xml:space="preserve"> </t>
    </r>
    <r>
      <rPr>
        <sz val="8"/>
        <rFont val="Arial"/>
        <family val="2"/>
      </rPr>
      <t>buyer / business portal:
Using:
o SQL (structured query language) or a similar method for more advanced users.</t>
    </r>
    <r>
      <rPr>
        <b/>
        <sz val="8"/>
        <rFont val="Arial"/>
        <family val="2"/>
      </rPr>
      <t xml:space="preserve">
</t>
    </r>
  </si>
  <si>
    <r>
      <t>In your "portal", demonstrate how one would</t>
    </r>
    <r>
      <rPr>
        <b/>
        <sz val="8"/>
        <rFont val="Arial"/>
        <family val="2"/>
      </rPr>
      <t xml:space="preserve"> customize an existing analytics dashboard</t>
    </r>
    <r>
      <rPr>
        <sz val="8"/>
        <rFont val="Arial"/>
        <family val="2"/>
      </rPr>
      <t xml:space="preserve"> in your solution / app </t>
    </r>
    <r>
      <rPr>
        <b/>
        <sz val="8"/>
        <rFont val="Arial"/>
        <family val="2"/>
      </rPr>
      <t>"using SQL or similar methods."</t>
    </r>
  </si>
  <si>
    <r>
      <t xml:space="preserve">Demonstrate the </t>
    </r>
    <r>
      <rPr>
        <b/>
        <sz val="8"/>
        <rFont val="Arial"/>
        <family val="2"/>
      </rPr>
      <t>customization of an existing analytics dashboard "using SQL or similar methods."</t>
    </r>
  </si>
  <si>
    <t>Demo_VW5</t>
  </si>
  <si>
    <r>
      <t xml:space="preserve">Ability to </t>
    </r>
    <r>
      <rPr>
        <b/>
        <sz val="8"/>
        <rFont val="Arial"/>
        <family val="2"/>
      </rPr>
      <t>create new analytics dashboards</t>
    </r>
    <r>
      <rPr>
        <sz val="8"/>
        <rFont val="Arial"/>
        <family val="2"/>
      </rPr>
      <t xml:space="preserve"> – buyer / business portal:
Using:
o Visual field / entity “drag and drop” functionality for general use.</t>
    </r>
    <r>
      <rPr>
        <b/>
        <sz val="8"/>
        <rFont val="Arial"/>
        <family val="2"/>
      </rPr>
      <t xml:space="preserve">
</t>
    </r>
  </si>
  <si>
    <r>
      <t xml:space="preserve">In your "portal", demonstrate how one would </t>
    </r>
    <r>
      <rPr>
        <b/>
        <sz val="8"/>
        <rFont val="Arial"/>
        <family val="2"/>
      </rPr>
      <t>create a new analytics dashboard</t>
    </r>
    <r>
      <rPr>
        <sz val="8"/>
        <rFont val="Arial"/>
        <family val="2"/>
      </rPr>
      <t xml:space="preserve"> in your solution / app </t>
    </r>
    <r>
      <rPr>
        <b/>
        <sz val="8"/>
        <rFont val="Arial"/>
        <family val="2"/>
      </rPr>
      <t>"using visual field / entity drag and drop functionality."</t>
    </r>
  </si>
  <si>
    <r>
      <t xml:space="preserve">Demonstrated the </t>
    </r>
    <r>
      <rPr>
        <b/>
        <sz val="8"/>
        <rFont val="Arial"/>
        <family val="2"/>
      </rPr>
      <t>creation of a new analytics dashboard "using visual field / entity drag and drop functionality."</t>
    </r>
  </si>
  <si>
    <t>Demo_VW6</t>
  </si>
  <si>
    <r>
      <t xml:space="preserve">Eskom requires the ability to </t>
    </r>
    <r>
      <rPr>
        <b/>
        <sz val="8"/>
        <rFont val="Arial"/>
        <family val="2"/>
      </rPr>
      <t>create new analytics dashboards</t>
    </r>
    <r>
      <rPr>
        <sz val="8"/>
        <rFont val="Arial"/>
        <family val="2"/>
      </rPr>
      <t xml:space="preserve"> in the buyer / business portal:
Using:
o SQL (structured query language) or a similar method for more advanced users.</t>
    </r>
    <r>
      <rPr>
        <b/>
        <sz val="8"/>
        <rFont val="Arial"/>
        <family val="2"/>
      </rPr>
      <t xml:space="preserve">
</t>
    </r>
  </si>
  <si>
    <r>
      <t xml:space="preserve">In your "portal", demonstrate how one would </t>
    </r>
    <r>
      <rPr>
        <b/>
        <sz val="8"/>
        <rFont val="Arial"/>
        <family val="2"/>
      </rPr>
      <t>create a new analytics dashboard</t>
    </r>
    <r>
      <rPr>
        <sz val="8"/>
        <rFont val="Arial"/>
        <family val="2"/>
      </rPr>
      <t xml:space="preserve"> in your solution / app </t>
    </r>
    <r>
      <rPr>
        <b/>
        <sz val="8"/>
        <rFont val="Arial"/>
        <family val="2"/>
      </rPr>
      <t>"using SQL or similar methods."</t>
    </r>
  </si>
  <si>
    <r>
      <t xml:space="preserve">Demonstrated the </t>
    </r>
    <r>
      <rPr>
        <b/>
        <sz val="8"/>
        <rFont val="Arial"/>
        <family val="2"/>
      </rPr>
      <t>creation of a new analytics dashboard "using SQL or similar methods."</t>
    </r>
  </si>
  <si>
    <t>Demo_VW7</t>
  </si>
  <si>
    <r>
      <t xml:space="preserve">Eskom requires the ability to </t>
    </r>
    <r>
      <rPr>
        <b/>
        <sz val="8"/>
        <rFont val="Arial"/>
        <family val="2"/>
      </rPr>
      <t>customize existing reports</t>
    </r>
    <r>
      <rPr>
        <sz val="8"/>
        <rFont val="Arial"/>
        <family val="2"/>
      </rPr>
      <t xml:space="preserve"> in the buyer / business portal:
Using:
o Visual field / entity “drag and drop” functionality for general use.</t>
    </r>
    <r>
      <rPr>
        <b/>
        <sz val="8"/>
        <rFont val="Arial"/>
        <family val="2"/>
      </rPr>
      <t xml:space="preserve">
</t>
    </r>
  </si>
  <si>
    <r>
      <t>In your "portal", demonstrate how one would</t>
    </r>
    <r>
      <rPr>
        <b/>
        <sz val="8"/>
        <rFont val="Arial"/>
        <family val="2"/>
      </rPr>
      <t xml:space="preserve"> customize an existing report</t>
    </r>
    <r>
      <rPr>
        <sz val="8"/>
        <rFont val="Arial"/>
        <family val="2"/>
      </rPr>
      <t xml:space="preserve"> in your solution / app </t>
    </r>
    <r>
      <rPr>
        <b/>
        <sz val="8"/>
        <rFont val="Arial"/>
        <family val="2"/>
      </rPr>
      <t>"using visual field / entity drag and drop functionality."</t>
    </r>
  </si>
  <si>
    <r>
      <t xml:space="preserve">Demonstrated the </t>
    </r>
    <r>
      <rPr>
        <b/>
        <sz val="8"/>
        <rFont val="Arial"/>
        <family val="2"/>
      </rPr>
      <t>customization of an existing report "using visual field / entity drag and drop functionality."</t>
    </r>
  </si>
  <si>
    <t>Demo_VW8</t>
  </si>
  <si>
    <r>
      <t xml:space="preserve">Eskom requires the ability to </t>
    </r>
    <r>
      <rPr>
        <b/>
        <sz val="8"/>
        <rFont val="Arial"/>
        <family val="2"/>
      </rPr>
      <t>customize existing reports</t>
    </r>
    <r>
      <rPr>
        <sz val="8"/>
        <rFont val="Arial"/>
        <family val="2"/>
      </rPr>
      <t xml:space="preserve"> in the buyer / business portal:
Using:
o SQL (structured query language) or a similar method for more advanced users.</t>
    </r>
    <r>
      <rPr>
        <b/>
        <sz val="8"/>
        <rFont val="Arial"/>
        <family val="2"/>
      </rPr>
      <t xml:space="preserve">
</t>
    </r>
  </si>
  <si>
    <r>
      <t>In your "portal", demonstrate how one would</t>
    </r>
    <r>
      <rPr>
        <b/>
        <sz val="8"/>
        <rFont val="Arial"/>
        <family val="2"/>
      </rPr>
      <t xml:space="preserve"> customize an existing report</t>
    </r>
    <r>
      <rPr>
        <sz val="8"/>
        <rFont val="Arial"/>
        <family val="2"/>
      </rPr>
      <t xml:space="preserve"> in your solution / app </t>
    </r>
    <r>
      <rPr>
        <b/>
        <sz val="8"/>
        <rFont val="Arial"/>
        <family val="2"/>
      </rPr>
      <t>"using SQL or similar methods."</t>
    </r>
  </si>
  <si>
    <r>
      <t xml:space="preserve">Demonstrated the </t>
    </r>
    <r>
      <rPr>
        <b/>
        <sz val="8"/>
        <rFont val="Arial"/>
        <family val="2"/>
      </rPr>
      <t>customization of an existing report "using SQL or similar methods."</t>
    </r>
  </si>
  <si>
    <t>Demo_VW9</t>
  </si>
  <si>
    <r>
      <t xml:space="preserve">Eskom requires the ability to </t>
    </r>
    <r>
      <rPr>
        <b/>
        <sz val="8"/>
        <rFont val="Arial"/>
        <family val="2"/>
      </rPr>
      <t>create new reports</t>
    </r>
    <r>
      <rPr>
        <sz val="8"/>
        <rFont val="Arial"/>
        <family val="2"/>
      </rPr>
      <t xml:space="preserve"> in the buyer / business portal:
Using:
o Visual field / entity “drag and drop” functionality for general use.</t>
    </r>
    <r>
      <rPr>
        <b/>
        <sz val="8"/>
        <rFont val="Arial"/>
        <family val="2"/>
      </rPr>
      <t xml:space="preserve">
</t>
    </r>
  </si>
  <si>
    <r>
      <t xml:space="preserve">In your "portal", demonstrate how one would </t>
    </r>
    <r>
      <rPr>
        <b/>
        <sz val="8"/>
        <rFont val="Arial"/>
        <family val="2"/>
      </rPr>
      <t>create a new report</t>
    </r>
    <r>
      <rPr>
        <sz val="8"/>
        <rFont val="Arial"/>
        <family val="2"/>
      </rPr>
      <t xml:space="preserve"> in your solution / app </t>
    </r>
    <r>
      <rPr>
        <b/>
        <sz val="8"/>
        <rFont val="Arial"/>
        <family val="2"/>
      </rPr>
      <t>"using visual field / entity drag and drop functionality."</t>
    </r>
  </si>
  <si>
    <r>
      <t xml:space="preserve">Demonstrated the </t>
    </r>
    <r>
      <rPr>
        <b/>
        <sz val="8"/>
        <rFont val="Arial"/>
        <family val="2"/>
      </rPr>
      <t>creation of a new report "using visual field / entity drag and drop functionality."</t>
    </r>
  </si>
  <si>
    <t>Demo_VW10</t>
  </si>
  <si>
    <r>
      <t xml:space="preserve">Eskom requires the ability to </t>
    </r>
    <r>
      <rPr>
        <b/>
        <sz val="8"/>
        <rFont val="Arial"/>
        <family val="2"/>
      </rPr>
      <t>create new reports</t>
    </r>
    <r>
      <rPr>
        <sz val="8"/>
        <rFont val="Arial"/>
        <family val="2"/>
      </rPr>
      <t xml:space="preserve"> in the buyer / business portal:
Using:
o SQL (structured query language) or a similar method for more advanced users.</t>
    </r>
    <r>
      <rPr>
        <b/>
        <sz val="8"/>
        <rFont val="Arial"/>
        <family val="2"/>
      </rPr>
      <t xml:space="preserve">
</t>
    </r>
  </si>
  <si>
    <r>
      <t xml:space="preserve">In your "portal", demonstrate how one would </t>
    </r>
    <r>
      <rPr>
        <b/>
        <sz val="8"/>
        <rFont val="Arial"/>
        <family val="2"/>
      </rPr>
      <t xml:space="preserve">create a new report </t>
    </r>
    <r>
      <rPr>
        <sz val="8"/>
        <rFont val="Arial"/>
        <family val="2"/>
      </rPr>
      <t xml:space="preserve">in your solution / app </t>
    </r>
    <r>
      <rPr>
        <b/>
        <sz val="8"/>
        <rFont val="Arial"/>
        <family val="2"/>
      </rPr>
      <t>"using SQL or similar methods."</t>
    </r>
  </si>
  <si>
    <r>
      <t xml:space="preserve">Demonstrated the </t>
    </r>
    <r>
      <rPr>
        <b/>
        <sz val="8"/>
        <rFont val="Arial"/>
        <family val="2"/>
      </rPr>
      <t>creation of a new report "using SQL or similar methods."</t>
    </r>
  </si>
  <si>
    <t>Demo_VW11</t>
  </si>
  <si>
    <r>
      <t>Eskom requires the</t>
    </r>
    <r>
      <rPr>
        <b/>
        <sz val="8"/>
        <rFont val="Arial"/>
        <family val="2"/>
      </rPr>
      <t xml:space="preserve"> "buyer / business portal"</t>
    </r>
    <r>
      <rPr>
        <sz val="8"/>
        <rFont val="Arial"/>
        <family val="2"/>
      </rPr>
      <t xml:space="preserve"> to be able to </t>
    </r>
    <r>
      <rPr>
        <b/>
        <sz val="8"/>
        <rFont val="Arial"/>
        <family val="2"/>
      </rPr>
      <t>configure business rules to identify accounts that qualify for wheeling</t>
    </r>
    <r>
      <rPr>
        <sz val="8"/>
        <rFont val="Arial"/>
        <family val="2"/>
      </rPr>
      <t>:
- Allow Eskom application support to configure business rules to identify accounts that qualify for wheeling e.g., a certain amount of debt or timing of wheeling refund / credit claim. Business rules may consider other parameters like type of customer and type of wheeling etc.</t>
    </r>
  </si>
  <si>
    <r>
      <t xml:space="preserve">In your "portal", demonstrate how to configure business rules to identify accounts that qualify for wheeling i.e. </t>
    </r>
    <r>
      <rPr>
        <b/>
        <sz val="8"/>
        <rFont val="Arial"/>
        <family val="2"/>
      </rPr>
      <t>show how to create, modify and remove business rules.</t>
    </r>
  </si>
  <si>
    <r>
      <t xml:space="preserve">Demonstrated the </t>
    </r>
    <r>
      <rPr>
        <b/>
        <sz val="8"/>
        <rFont val="Arial"/>
        <family val="2"/>
      </rPr>
      <t>creation, modification and deletion of business rules</t>
    </r>
    <r>
      <rPr>
        <sz val="8"/>
        <rFont val="Arial"/>
        <family val="2"/>
      </rPr>
      <t xml:space="preserve"> to identify accounts that qualify for wheeling.</t>
    </r>
  </si>
  <si>
    <t>Demo_VW12</t>
  </si>
  <si>
    <r>
      <t>Eskom requires the</t>
    </r>
    <r>
      <rPr>
        <b/>
        <sz val="8"/>
        <rFont val="Arial"/>
        <family val="2"/>
      </rPr>
      <t xml:space="preserve"> "buyer / business portal" </t>
    </r>
    <r>
      <rPr>
        <sz val="8"/>
        <rFont val="Arial"/>
        <family val="2"/>
      </rPr>
      <t xml:space="preserve">to be able to </t>
    </r>
    <r>
      <rPr>
        <b/>
        <sz val="8"/>
        <rFont val="Arial"/>
        <family val="2"/>
      </rPr>
      <t>create / apply energy wheeling configurations:</t>
    </r>
    <r>
      <rPr>
        <sz val="8"/>
        <rFont val="Arial"/>
        <family val="2"/>
      </rPr>
      <t xml:space="preserve">
o Ability to create / apply energy wheeling configurations. 
o Provide a simple association / link between generators and off takers e.g., via accounts, service agreements, premises or meters.
o An energy wheeling configuration should minimally have: 
  - </t>
    </r>
    <r>
      <rPr>
        <i/>
        <sz val="8"/>
        <color rgb="FF7030A0"/>
        <rFont val="Arial"/>
        <family val="2"/>
      </rPr>
      <t>Association / link between generators and off takers</t>
    </r>
    <r>
      <rPr>
        <sz val="8"/>
        <color rgb="FF7030A0"/>
        <rFont val="Arial"/>
        <family val="2"/>
      </rPr>
      <t xml:space="preserve"> </t>
    </r>
    <r>
      <rPr>
        <sz val="8"/>
        <rFont val="Arial"/>
        <family val="2"/>
      </rPr>
      <t xml:space="preserve">e.g., via accounts, service agreements, premises or meters
  - </t>
    </r>
    <r>
      <rPr>
        <i/>
        <sz val="8"/>
        <color rgb="FF7030A0"/>
        <rFont val="Arial"/>
        <family val="2"/>
      </rPr>
      <t>Association / link between consolidated accounts for buyers (corporate entities or traders) and their load accounts</t>
    </r>
    <r>
      <rPr>
        <sz val="8"/>
        <rFont val="Arial"/>
        <family val="2"/>
      </rPr>
      <t xml:space="preserve">
  - </t>
    </r>
    <r>
      <rPr>
        <i/>
        <sz val="8"/>
        <color rgb="FF7030A0"/>
        <rFont val="Arial"/>
        <family val="2"/>
      </rPr>
      <t>Wheeling allocation option</t>
    </r>
    <r>
      <rPr>
        <sz val="8"/>
        <rFont val="Arial"/>
        <family val="2"/>
      </rPr>
      <t xml:space="preserve"> - percentage / amount of wheeled energy allocation per generator / off taker
  - </t>
    </r>
    <r>
      <rPr>
        <i/>
        <sz val="8"/>
        <color rgb="FF7030A0"/>
        <rFont val="Arial"/>
        <family val="2"/>
      </rPr>
      <t>Financial refund / credit option</t>
    </r>
    <r>
      <rPr>
        <sz val="8"/>
        <rFont val="Arial"/>
        <family val="2"/>
      </rPr>
      <t xml:space="preserve"> - consolidate (trx) acct or individual customer</t>
    </r>
  </si>
  <si>
    <r>
      <t>In your "portal", demonstrate how to</t>
    </r>
    <r>
      <rPr>
        <b/>
        <sz val="8"/>
        <rFont val="Arial"/>
        <family val="2"/>
      </rPr>
      <t xml:space="preserve"> create / apply energy wheeling configurations.</t>
    </r>
    <r>
      <rPr>
        <sz val="8"/>
        <rFont val="Arial"/>
        <family val="2"/>
      </rPr>
      <t xml:space="preserve">
</t>
    </r>
    <r>
      <rPr>
        <b/>
        <u/>
        <sz val="8"/>
        <rFont val="Arial"/>
        <family val="2"/>
      </rPr>
      <t>Show all of:</t>
    </r>
    <r>
      <rPr>
        <sz val="8"/>
        <rFont val="Arial"/>
        <family val="2"/>
      </rPr>
      <t xml:space="preserve">
1a. Creation of association / link between generators and off takers.
1b. Association / link between consolidated accounts for buyers (corporate entities or traders) and their load accounts.
2. How the percentage / amount wheeled energy is allocated per off taker.
3. How fund allocation of option is configured per customer (premise) or per consolidated account (virtual wheeling).</t>
    </r>
  </si>
  <si>
    <t>[Instruction: Add % scores for items demonstrated e.g. 4.6%+4.6%+0%+0% = 9.29%]</t>
  </si>
  <si>
    <t>Demonstrated 1a. Creation of association / link between generators and off takers.</t>
  </si>
  <si>
    <t>Demonstrated 1b. Association / link between consolidated accounts for buyers (corporate entities or traders) and their load accounts.</t>
  </si>
  <si>
    <t>Demonstrate 2. How the percentage / amount wheeled energy is allocated per off taker.</t>
  </si>
  <si>
    <t>Demonstrate 3. How fund allocation of option is configured per customer (premise) or per consolidated account (virtual wheeling).</t>
  </si>
  <si>
    <t>Demo_VW13</t>
  </si>
  <si>
    <r>
      <t xml:space="preserve">Eskom requires the </t>
    </r>
    <r>
      <rPr>
        <b/>
        <sz val="8"/>
        <rFont val="Arial"/>
        <family val="2"/>
      </rPr>
      <t xml:space="preserve">"buyer / business wheeling portal" </t>
    </r>
    <r>
      <rPr>
        <sz val="8"/>
        <rFont val="Arial"/>
        <family val="2"/>
      </rPr>
      <t xml:space="preserve">to </t>
    </r>
    <r>
      <rPr>
        <b/>
        <sz val="8"/>
        <rFont val="Arial"/>
        <family val="2"/>
      </rPr>
      <t>allow buyer submission of interval meter read data</t>
    </r>
    <r>
      <rPr>
        <sz val="8"/>
        <rFont val="Arial"/>
        <family val="2"/>
      </rPr>
      <t xml:space="preserve">: 
(For wheeling directly to customers behind municipal boundaries)
- Ability to accept and process buyer submission of interval meter read data for customers behind municipal boundaries.
- Ability to upload interval meter read data in bulk for multiple buyers. 
Note: 
- Buyers to be provided with meter read data submission template.
</t>
    </r>
  </si>
  <si>
    <r>
      <t xml:space="preserve">In your "portal", demonstrate the </t>
    </r>
    <r>
      <rPr>
        <b/>
        <sz val="8"/>
        <rFont val="Arial"/>
        <family val="2"/>
      </rPr>
      <t>buyer submission of interval meter read data.</t>
    </r>
    <r>
      <rPr>
        <sz val="8"/>
        <rFont val="Arial"/>
        <family val="2"/>
      </rPr>
      <t xml:space="preserve">
</t>
    </r>
  </si>
  <si>
    <r>
      <t xml:space="preserve">Demonstrated the </t>
    </r>
    <r>
      <rPr>
        <b/>
        <sz val="8"/>
        <rFont val="Arial"/>
        <family val="2"/>
      </rPr>
      <t>submission of buyer interval meter read data.</t>
    </r>
  </si>
  <si>
    <t>Demo_VW14</t>
  </si>
  <si>
    <r>
      <t xml:space="preserve">In your "portal", demonstrate the </t>
    </r>
    <r>
      <rPr>
        <b/>
        <sz val="8"/>
        <rFont val="Arial"/>
        <family val="2"/>
      </rPr>
      <t>buyer submission of energy wheeling allocation parameters.</t>
    </r>
  </si>
  <si>
    <r>
      <t xml:space="preserve">Demonstrated the </t>
    </r>
    <r>
      <rPr>
        <b/>
        <sz val="8"/>
        <rFont val="Arial"/>
        <family val="2"/>
      </rPr>
      <t>submission of buyer submission of energy wheeling allocation parameters.</t>
    </r>
  </si>
  <si>
    <t>Demo_VW15</t>
  </si>
  <si>
    <r>
      <t xml:space="preserve">Eskom requires the </t>
    </r>
    <r>
      <rPr>
        <b/>
        <sz val="8"/>
        <rFont val="Arial"/>
        <family val="2"/>
      </rPr>
      <t xml:space="preserve">"buyer / business portal" </t>
    </r>
    <r>
      <rPr>
        <sz val="8"/>
        <rFont val="Arial"/>
        <family val="2"/>
      </rPr>
      <t xml:space="preserve">to allow </t>
    </r>
    <r>
      <rPr>
        <b/>
        <sz val="8"/>
        <rFont val="Arial"/>
        <family val="2"/>
      </rPr>
      <t xml:space="preserve">Eskom users to validate and approve energy wheeling refund / credit:
</t>
    </r>
    <r>
      <rPr>
        <sz val="8"/>
        <rFont val="Arial"/>
        <family val="2"/>
      </rPr>
      <t xml:space="preserve">- Relevant Eskom user to validate and approve </t>
    </r>
    <r>
      <rPr>
        <b/>
        <sz val="8"/>
        <rFont val="Arial"/>
        <family val="2"/>
      </rPr>
      <t>(proceed to refund)</t>
    </r>
    <r>
      <rPr>
        <sz val="8"/>
        <rFont val="Arial"/>
        <family val="2"/>
      </rPr>
      <t xml:space="preserve"> energy wheeling refund / credit before financial processing.</t>
    </r>
  </si>
  <si>
    <r>
      <t>In your "portal", demonstrate the</t>
    </r>
    <r>
      <rPr>
        <b/>
        <sz val="8"/>
        <rFont val="Arial"/>
        <family val="2"/>
      </rPr>
      <t xml:space="preserve"> validation and approval of calculated energy wheeling refund / credit.
</t>
    </r>
    <r>
      <rPr>
        <sz val="8"/>
        <rFont val="Arial"/>
        <family val="2"/>
      </rPr>
      <t xml:space="preserve">
</t>
    </r>
  </si>
  <si>
    <r>
      <t xml:space="preserve">Demonstrated the </t>
    </r>
    <r>
      <rPr>
        <b/>
        <sz val="8"/>
        <rFont val="Arial"/>
        <family val="2"/>
      </rPr>
      <t>validation and approval of calculated energy wheeling refund / credit.</t>
    </r>
  </si>
  <si>
    <r>
      <t xml:space="preserve">Selection Options
Yes - </t>
    </r>
    <r>
      <rPr>
        <sz val="7"/>
        <color theme="1"/>
        <rFont val="Arial"/>
        <family val="2"/>
      </rPr>
      <t>Demonstrated and meets requirement</t>
    </r>
    <r>
      <rPr>
        <b/>
        <sz val="7"/>
        <color theme="1"/>
        <rFont val="Arial"/>
        <family val="2"/>
      </rPr>
      <t xml:space="preserve">
No - </t>
    </r>
    <r>
      <rPr>
        <sz val="7"/>
        <color theme="1"/>
        <rFont val="Arial"/>
        <family val="2"/>
      </rPr>
      <t>Not demonstrated or does not meet requirement</t>
    </r>
  </si>
  <si>
    <t>Demo_CET1</t>
  </si>
  <si>
    <r>
      <t xml:space="preserve">Demonstrate how your solution </t>
    </r>
    <r>
      <rPr>
        <b/>
        <sz val="8"/>
        <rFont val="Arial"/>
        <family val="2"/>
      </rPr>
      <t>manages user access considering both Eskom internal users and external market participant users.</t>
    </r>
    <r>
      <rPr>
        <sz val="8"/>
        <rFont val="Arial"/>
        <family val="2"/>
      </rPr>
      <t xml:space="preserve">
- Show each step as per the use case requirements from BF1 to BF4. 
- Ensure that you clearly indicate which use case requirement you are demonstrating e.g. BF1, BF2...</t>
    </r>
  </si>
  <si>
    <t>Demo_CET2</t>
  </si>
  <si>
    <r>
      <t xml:space="preserve">Demonstrate how your solution </t>
    </r>
    <r>
      <rPr>
        <b/>
        <sz val="8"/>
        <rFont val="Arial"/>
        <family val="2"/>
      </rPr>
      <t xml:space="preserve">manages the market participant service / product offering applications per category by assessing and approving / rejecting the application. 
</t>
    </r>
    <r>
      <rPr>
        <sz val="8"/>
        <rFont val="Arial"/>
        <family val="2"/>
      </rPr>
      <t xml:space="preserve">
- Show each step as per the use case requirements from BF1 to EF1. 
- Ensure that you clearly indicate which use case requirement you are demonstrating e.g. BF1, BF2...</t>
    </r>
  </si>
  <si>
    <t>Demo_CET3</t>
  </si>
  <si>
    <r>
      <t xml:space="preserve">Demonstrate how your solution </t>
    </r>
    <r>
      <rPr>
        <b/>
        <sz val="8"/>
        <rFont val="Arial"/>
        <family val="2"/>
      </rPr>
      <t>performs energy forecasting and demand planning for Dx CET. Considering various variables: e.g. national, regional and local needs, planned / unplanned maintenance/ outages, network constraints and weather patterns.</t>
    </r>
    <r>
      <rPr>
        <sz val="8"/>
        <rFont val="Arial"/>
        <family val="2"/>
      </rPr>
      <t xml:space="preserve">
- Show each step as per the use case requirements from BF1 to BF5. 
- Ensure that you clearly indicate which use case requirement you are demonstrating e.g. BF1, BF2...</t>
    </r>
  </si>
  <si>
    <t>Demo_CET4</t>
  </si>
  <si>
    <r>
      <t xml:space="preserve">Eskom requires an Energy Trading solution that is able to:
Allow market participants access to the Dx CET system and submit bids for approved products and services according to published forecasted planning.
</t>
    </r>
    <r>
      <rPr>
        <b/>
        <sz val="8"/>
        <rFont val="Arial"/>
        <family val="2"/>
      </rPr>
      <t>BF1:</t>
    </r>
    <r>
      <rPr>
        <sz val="8"/>
        <rFont val="Arial"/>
        <family val="2"/>
      </rPr>
      <t xml:space="preserve"> Receive bids submitted by market participants
</t>
    </r>
    <r>
      <rPr>
        <b/>
        <sz val="8"/>
        <rFont val="Arial"/>
        <family val="2"/>
      </rPr>
      <t xml:space="preserve">BF2: </t>
    </r>
    <r>
      <rPr>
        <sz val="8"/>
        <rFont val="Arial"/>
        <family val="2"/>
      </rPr>
      <t xml:space="preserve">System response: Evaluate and Rank bids received against products and services (BR4.1)
</t>
    </r>
    <r>
      <rPr>
        <b/>
        <sz val="8"/>
        <rFont val="Arial"/>
        <family val="2"/>
      </rPr>
      <t xml:space="preserve">BF3: </t>
    </r>
    <r>
      <rPr>
        <sz val="8"/>
        <rFont val="Arial"/>
        <family val="2"/>
      </rPr>
      <t xml:space="preserve">System response: Consolidate and Aggregate bids received (BR4.2)
</t>
    </r>
    <r>
      <rPr>
        <b/>
        <sz val="8"/>
        <rFont val="Arial"/>
        <family val="2"/>
      </rPr>
      <t xml:space="preserve">BF4: </t>
    </r>
    <r>
      <rPr>
        <sz val="8"/>
        <rFont val="Arial"/>
        <family val="2"/>
      </rPr>
      <t xml:space="preserve">Provide consolidated update to DSO upon bid gate closure
System Response: Save updated bidding register for DSO to action
</t>
    </r>
    <r>
      <rPr>
        <b/>
        <sz val="8"/>
        <rFont val="Arial"/>
        <family val="2"/>
      </rPr>
      <t>BF5:</t>
    </r>
    <r>
      <rPr>
        <sz val="8"/>
        <rFont val="Arial"/>
        <family val="2"/>
      </rPr>
      <t xml:space="preserve"> Confirm Technical Clearance
System response: Save technical clearance confirmation
</t>
    </r>
    <r>
      <rPr>
        <b/>
        <sz val="8"/>
        <rFont val="Arial"/>
        <family val="2"/>
      </rPr>
      <t xml:space="preserve">BF6: </t>
    </r>
    <r>
      <rPr>
        <sz val="8"/>
        <rFont val="Arial"/>
        <family val="2"/>
      </rPr>
      <t>Notify successful bids market participants</t>
    </r>
  </si>
  <si>
    <r>
      <t>Demonstrate how your solution a</t>
    </r>
    <r>
      <rPr>
        <b/>
        <sz val="8"/>
        <rFont val="Arial"/>
        <family val="2"/>
      </rPr>
      <t>llows market participants access to the Dx CET system and submit bids for approved products and services according to published forecasted planning.</t>
    </r>
    <r>
      <rPr>
        <sz val="8"/>
        <rFont val="Arial"/>
        <family val="2"/>
      </rPr>
      <t xml:space="preserve">
- Show each step as per the use case requirements from BF1 to BF6.
- Ensure that you clearly indicate which use case requirement you are demonstrating e.g. BF1, BF2...</t>
    </r>
  </si>
  <si>
    <t>Demo_CET5</t>
  </si>
  <si>
    <r>
      <t xml:space="preserve">Eskom requires an Energy Trading solution that is able to:
Analyse and clear bids received in the energy trading landscape determining the following: 
a. Impact of bids received against planned budgets, 
b. The products and services on offer and expenditure against them, improvement opportunities, pre-qualification requirements and interfacing, existing needs considering pricing/ markets and flexible services, settlements and defaulting reasons.
</t>
    </r>
    <r>
      <rPr>
        <b/>
        <sz val="8"/>
        <rFont val="Arial"/>
        <family val="2"/>
      </rPr>
      <t>BF1:</t>
    </r>
    <r>
      <rPr>
        <sz val="8"/>
        <rFont val="Arial"/>
        <family val="2"/>
      </rPr>
      <t xml:space="preserve"> Analyse available bid forecasting impact on bottom line. (Compare actual versus budget)
System response: Display, save, print, and export various reports in different formats
</t>
    </r>
    <r>
      <rPr>
        <b/>
        <sz val="8"/>
        <rFont val="Arial"/>
        <family val="2"/>
      </rPr>
      <t>BF2:</t>
    </r>
    <r>
      <rPr>
        <sz val="8"/>
        <rFont val="Arial"/>
        <family val="2"/>
      </rPr>
      <t xml:space="preserve"> Reviewing portfolio of products and services issued against objectives and budgets set
System response: Display, save, print, and export various reports in different formats
</t>
    </r>
    <r>
      <rPr>
        <b/>
        <sz val="8"/>
        <rFont val="Arial"/>
        <family val="2"/>
      </rPr>
      <t xml:space="preserve">BF3: </t>
    </r>
    <r>
      <rPr>
        <sz val="8"/>
        <rFont val="Arial"/>
        <family val="2"/>
      </rPr>
      <t xml:space="preserve">Continuous improvement analysis/ review- Analyse prequalification requirements and interfacing 
System Response: Display, save, print, and export various reports in different formats
</t>
    </r>
    <r>
      <rPr>
        <b/>
        <sz val="8"/>
        <rFont val="Arial"/>
        <family val="2"/>
      </rPr>
      <t>BF4:</t>
    </r>
    <r>
      <rPr>
        <sz val="8"/>
        <rFont val="Arial"/>
        <family val="2"/>
      </rPr>
      <t xml:space="preserve"> Analysis of existing needs (pricing/ market/ flexible services)
System response: Display, save, print, and export various reports in different formats
</t>
    </r>
    <r>
      <rPr>
        <b/>
        <sz val="8"/>
        <rFont val="Arial"/>
        <family val="2"/>
      </rPr>
      <t>BF5:</t>
    </r>
    <r>
      <rPr>
        <sz val="8"/>
        <rFont val="Arial"/>
        <family val="2"/>
      </rPr>
      <t xml:space="preserve"> Compare settlements against the current contract agreement
System response: Display, save, print, and export various reports in different formats
</t>
    </r>
    <r>
      <rPr>
        <b/>
        <sz val="8"/>
        <rFont val="Arial"/>
        <family val="2"/>
      </rPr>
      <t xml:space="preserve">BF6: </t>
    </r>
    <r>
      <rPr>
        <sz val="8"/>
        <rFont val="Arial"/>
        <family val="2"/>
      </rPr>
      <t>Update commercially accepted bids register 
System response: Save updated bids register</t>
    </r>
  </si>
  <si>
    <r>
      <t xml:space="preserve">Demonstrate how your solution </t>
    </r>
    <r>
      <rPr>
        <b/>
        <sz val="8"/>
        <rFont val="Arial"/>
        <family val="2"/>
      </rPr>
      <t>analyses and clears bids received in the energy trading landscape.</t>
    </r>
    <r>
      <rPr>
        <sz val="8"/>
        <rFont val="Arial"/>
        <family val="2"/>
      </rPr>
      <t xml:space="preserve">
- Show each step as per the use case requirements from BF1 to BF6. 
- Ensure that you clearly indicate which use case requirement you are demonstrating e.g. BF1, BF2...</t>
    </r>
  </si>
  <si>
    <t>Demo_CET6</t>
  </si>
  <si>
    <r>
      <t xml:space="preserve">Eskom requires an Energy Trading solution that is able to:
Consolidate and validate metering for all market participants according their respective contractual agreements in preparation to settle account agreements.
</t>
    </r>
    <r>
      <rPr>
        <b/>
        <sz val="8"/>
        <rFont val="Arial"/>
        <family val="2"/>
      </rPr>
      <t>BF1</t>
    </r>
    <r>
      <rPr>
        <sz val="8"/>
        <rFont val="Arial"/>
        <family val="2"/>
      </rPr>
      <t xml:space="preserve">: Receive contracted metering data 
System response: Display data 
</t>
    </r>
    <r>
      <rPr>
        <b/>
        <sz val="8"/>
        <rFont val="Arial"/>
        <family val="2"/>
      </rPr>
      <t>BF2:</t>
    </r>
    <r>
      <rPr>
        <sz val="8"/>
        <rFont val="Arial"/>
        <family val="2"/>
      </rPr>
      <t xml:space="preserve"> Validate actual versus contracted energy 
System response: Display actual versus contracted and differences
</t>
    </r>
    <r>
      <rPr>
        <b/>
        <sz val="8"/>
        <rFont val="Arial"/>
        <family val="2"/>
      </rPr>
      <t>BF3:</t>
    </r>
    <r>
      <rPr>
        <sz val="8"/>
        <rFont val="Arial"/>
        <family val="2"/>
      </rPr>
      <t xml:space="preserve"> Manage exceptions (AF1)
System response: Save updated corrections
</t>
    </r>
    <r>
      <rPr>
        <b/>
        <sz val="8"/>
        <rFont val="Arial"/>
        <family val="2"/>
      </rPr>
      <t>BF4:</t>
    </r>
    <r>
      <rPr>
        <sz val="8"/>
        <rFont val="Arial"/>
        <family val="2"/>
      </rPr>
      <t xml:space="preserve"> Validation approval 
System response: Save approved validations</t>
    </r>
  </si>
  <si>
    <r>
      <t xml:space="preserve">Demonstrate how your solution </t>
    </r>
    <r>
      <rPr>
        <b/>
        <sz val="8"/>
        <rFont val="Arial"/>
        <family val="2"/>
      </rPr>
      <t>consolidates and validates metering for all market participants according their respective contractual agreements in preparation to settle account agreements.</t>
    </r>
    <r>
      <rPr>
        <sz val="8"/>
        <rFont val="Arial"/>
        <family val="2"/>
      </rPr>
      <t xml:space="preserve">
- Show each step as per the use case requirements from BF1 to BF4.
- Ensure that you clearly indicate which use case requirement you are demonstrating e.g. BF1, BF2...</t>
    </r>
  </si>
  <si>
    <t>Demo_CET7</t>
  </si>
  <si>
    <r>
      <t xml:space="preserve">Eskom requires an Energy Trading solution that is able to:
Compute financial energy settlements. Validate and manage trade reports, adjustments, exceptions and notifications to market participants to provide accurate invoicing.
</t>
    </r>
    <r>
      <rPr>
        <b/>
        <sz val="8"/>
        <rFont val="Arial"/>
        <family val="2"/>
      </rPr>
      <t>BF1:</t>
    </r>
    <r>
      <rPr>
        <sz val="8"/>
        <rFont val="Arial"/>
        <family val="2"/>
      </rPr>
      <t xml:space="preserve"> Compute financial settlements based on approved data
System response: Save updated settlements data
</t>
    </r>
    <r>
      <rPr>
        <b/>
        <sz val="8"/>
        <rFont val="Arial"/>
        <family val="2"/>
      </rPr>
      <t>BF2:</t>
    </r>
    <r>
      <rPr>
        <sz val="8"/>
        <rFont val="Arial"/>
        <family val="2"/>
      </rPr>
      <t xml:space="preserve"> Receive trade reports 
System response: Save trade reports
</t>
    </r>
    <r>
      <rPr>
        <b/>
        <sz val="8"/>
        <rFont val="Arial"/>
        <family val="2"/>
      </rPr>
      <t>BF3:</t>
    </r>
    <r>
      <rPr>
        <sz val="8"/>
        <rFont val="Arial"/>
        <family val="2"/>
      </rPr>
      <t xml:space="preserve"> Validate trade reports 
</t>
    </r>
    <r>
      <rPr>
        <b/>
        <sz val="8"/>
        <rFont val="Arial"/>
        <family val="2"/>
      </rPr>
      <t>BF4:</t>
    </r>
    <r>
      <rPr>
        <sz val="8"/>
        <rFont val="Arial"/>
        <family val="2"/>
      </rPr>
      <t xml:space="preserve"> Manage adjustments/ exceptions
System response: Update and save adjustments/ exceptions as a settlement statement.
</t>
    </r>
    <r>
      <rPr>
        <b/>
        <sz val="8"/>
        <rFont val="Arial"/>
        <family val="2"/>
      </rPr>
      <t>BF5:</t>
    </r>
    <r>
      <rPr>
        <sz val="8"/>
        <rFont val="Arial"/>
        <family val="2"/>
      </rPr>
      <t xml:space="preserve"> Notify market participants to provide invoices 
System response: Email / Cell messages to market participant to provide invoices</t>
    </r>
  </si>
  <si>
    <r>
      <t xml:space="preserve">Demonstrate how your solution </t>
    </r>
    <r>
      <rPr>
        <b/>
        <sz val="8"/>
        <rFont val="Arial"/>
        <family val="2"/>
      </rPr>
      <t xml:space="preserve">computes financial energy settlements as well as validates and manages trade reports, adjustments, exceptions and notifications to market participants to provide accurate invoicing.
</t>
    </r>
    <r>
      <rPr>
        <sz val="8"/>
        <rFont val="Arial"/>
        <family val="2"/>
      </rPr>
      <t xml:space="preserve">
- Show each step as per the use case requirements from BF1 to BF5.
- Ensure that you clearly indicate which use case requirement you are demonstrating e.g. BF1, BF2...</t>
    </r>
  </si>
  <si>
    <t>Demo_CET8</t>
  </si>
  <si>
    <r>
      <t xml:space="preserve">Eskom requires an Energy Trading solution that is able to:
Manage the consolidated settlement payments process until proof of payment (remittance) received by market participants. Updated data will be required for future budgeting and improvement of the processes.
</t>
    </r>
    <r>
      <rPr>
        <b/>
        <sz val="8"/>
        <rFont val="Arial"/>
        <family val="2"/>
      </rPr>
      <t>BF1:</t>
    </r>
    <r>
      <rPr>
        <sz val="8"/>
        <rFont val="Arial"/>
        <family val="2"/>
      </rPr>
      <t xml:space="preserve"> Supplier/Eskom user emails a valid Tax invoice to Accounts Payable (AP).
</t>
    </r>
    <r>
      <rPr>
        <b/>
        <sz val="8"/>
        <rFont val="Arial"/>
        <family val="2"/>
      </rPr>
      <t>BF2:</t>
    </r>
    <r>
      <rPr>
        <sz val="8"/>
        <rFont val="Arial"/>
        <family val="2"/>
      </rPr>
      <t xml:space="preserve"> AP receives and checks the invoice for Tax validity and Purchase Order (PO) validity.
System response: Save invoice as attachment to the relevant system transaction
</t>
    </r>
    <r>
      <rPr>
        <b/>
        <sz val="8"/>
        <rFont val="Arial"/>
        <family val="2"/>
      </rPr>
      <t xml:space="preserve">BF3: </t>
    </r>
    <r>
      <rPr>
        <sz val="8"/>
        <rFont val="Arial"/>
        <family val="2"/>
      </rPr>
      <t xml:space="preserve">AP then processes the invoice if Service entry/ Goods Receipt (GR) is done or parks the invoice if GR is not done (AF1)
System Response: Validate and save invoice as attachment to the service entry. Link to GR.
</t>
    </r>
    <r>
      <rPr>
        <b/>
        <sz val="8"/>
        <rFont val="Arial"/>
        <family val="2"/>
      </rPr>
      <t xml:space="preserve">BF4: </t>
    </r>
    <r>
      <rPr>
        <sz val="8"/>
        <rFont val="Arial"/>
        <family val="2"/>
      </rPr>
      <t xml:space="preserve">Reconcile account holder account with invoice and determine balance for settlement (credit/ debt management)?
System Response: Update and save settlement statement 
</t>
    </r>
    <r>
      <rPr>
        <b/>
        <sz val="8"/>
        <rFont val="Arial"/>
        <family val="2"/>
      </rPr>
      <t>BF5:</t>
    </r>
    <r>
      <rPr>
        <sz val="8"/>
        <rFont val="Arial"/>
        <family val="2"/>
      </rPr>
      <t xml:space="preserve"> Invoice is paid as per the payment terms on the PO counted from the date of submission of the invoice.
System Response: Post settlement accounts for approval and next payment run. Send remittance notification to market participants.
</t>
    </r>
    <r>
      <rPr>
        <b/>
        <sz val="8"/>
        <rFont val="Arial"/>
        <family val="2"/>
      </rPr>
      <t>AF1:</t>
    </r>
    <r>
      <rPr>
        <sz val="8"/>
        <rFont val="Arial"/>
        <family val="2"/>
      </rPr>
      <t xml:space="preserve"> (BF3) When Good / Service receipt is not done park invoice until GR is done then return to BF3.</t>
    </r>
  </si>
  <si>
    <r>
      <t xml:space="preserve">Demonstrate how your solution </t>
    </r>
    <r>
      <rPr>
        <b/>
        <sz val="8"/>
        <rFont val="Arial"/>
        <family val="2"/>
      </rPr>
      <t>manages the consolidated settlement payments process until proof of payment (remittance) received by market participants. Updated data will be required for future budgeting and improvement of the processes.</t>
    </r>
    <r>
      <rPr>
        <sz val="8"/>
        <rFont val="Arial"/>
        <family val="2"/>
      </rPr>
      <t xml:space="preserve">
- Show each step as per the use case requirements from BF1 to AF1.
- Ensure that you clearly indicate which use case requirement you are demonstrating e.g. BF1, BF2...</t>
    </r>
  </si>
  <si>
    <t>?? Reporting as per VW or specific reports??</t>
  </si>
  <si>
    <t>- Demo reporting / analytics capability</t>
  </si>
  <si>
    <t>DemonstrationThreshold:</t>
  </si>
  <si>
    <r>
      <t xml:space="preserve">Eskom requires an Energy Trading solution that is able to:
Manage the market participant service / product offering applications per category by assessing and approving / rejecting the application. 
</t>
    </r>
    <r>
      <rPr>
        <b/>
        <sz val="8"/>
        <rFont val="Arial"/>
        <family val="2"/>
      </rPr>
      <t xml:space="preserve">BF1: </t>
    </r>
    <r>
      <rPr>
        <sz val="8"/>
        <rFont val="Arial"/>
        <family val="2"/>
      </rPr>
      <t xml:space="preserve">Updating schedule for various approved products and services
System response: Save updated schedule for products and services
</t>
    </r>
    <r>
      <rPr>
        <b/>
        <sz val="8"/>
        <rFont val="Arial"/>
        <family val="2"/>
      </rPr>
      <t xml:space="preserve">BF2: </t>
    </r>
    <r>
      <rPr>
        <sz val="8"/>
        <rFont val="Arial"/>
        <family val="2"/>
      </rPr>
      <t xml:space="preserve">Market participant submit application to provide products or services (Selection and price offered – intelligent product service selection)
System response: Save application with unique ID number. (Version controlled)
</t>
    </r>
    <r>
      <rPr>
        <b/>
        <sz val="8"/>
        <rFont val="Arial"/>
        <family val="2"/>
      </rPr>
      <t>BF3:</t>
    </r>
    <r>
      <rPr>
        <sz val="8"/>
        <rFont val="Arial"/>
        <family val="2"/>
      </rPr>
      <t xml:space="preserve"> Evaluate application and save approval/ rejection with reasons of rejection. (EF1)
System response: Save approval/ rejection and notify market participant. (AF2)
Eskom requires:
</t>
    </r>
    <r>
      <rPr>
        <b/>
        <sz val="8"/>
        <rFont val="Arial"/>
        <family val="2"/>
      </rPr>
      <t>BF4:</t>
    </r>
    <r>
      <rPr>
        <sz val="8"/>
        <rFont val="Arial"/>
        <family val="2"/>
      </rPr>
      <t xml:space="preserve"> Updated commission and testing status for applied product and services.
System response: Save status and send for sign off (AF1)
</t>
    </r>
    <r>
      <rPr>
        <b/>
        <sz val="8"/>
        <rFont val="Arial"/>
        <family val="2"/>
      </rPr>
      <t xml:space="preserve">BF5: </t>
    </r>
    <r>
      <rPr>
        <sz val="8"/>
        <rFont val="Arial"/>
        <family val="2"/>
      </rPr>
      <t xml:space="preserve">Sign of contractual agreement electronically and keep records on CET system (audit trail-workflow)
(AF1)
System response: Save, send, and keep workflow audit trail for record purposes. (Minimum five-year data
storage with twelve-month archive options).
</t>
    </r>
    <r>
      <rPr>
        <b/>
        <sz val="8"/>
        <rFont val="Arial"/>
        <family val="2"/>
      </rPr>
      <t>BF6:</t>
    </r>
    <r>
      <rPr>
        <sz val="8"/>
        <rFont val="Arial"/>
        <family val="2"/>
      </rPr>
      <t xml:space="preserve"> Review contractual agreements (Compliance based/ Repetitive breaching of contract agreement)
System response: Notify relevant stakeholders when compliance breached (set margins)
</t>
    </r>
    <r>
      <rPr>
        <b/>
        <sz val="8"/>
        <rFont val="Arial"/>
        <family val="2"/>
      </rPr>
      <t>BF7:</t>
    </r>
    <r>
      <rPr>
        <sz val="8"/>
        <rFont val="Arial"/>
        <family val="2"/>
      </rPr>
      <t xml:space="preserve"> Update access profiles to enable market participants to access bidding functions.
System response: Notify affected users about profile updates
</t>
    </r>
    <r>
      <rPr>
        <b/>
        <sz val="8"/>
        <rFont val="Arial"/>
        <family val="2"/>
      </rPr>
      <t>AF1:</t>
    </r>
    <r>
      <rPr>
        <sz val="8"/>
        <rFont val="Arial"/>
        <family val="2"/>
      </rPr>
      <t xml:space="preserve"> (BF5) When sign off is not achieved within five workdays due to a dispute escalate one level up notifying relevant manager.
</t>
    </r>
    <r>
      <rPr>
        <b/>
        <sz val="8"/>
        <rFont val="Arial"/>
        <family val="2"/>
      </rPr>
      <t>AF2:</t>
    </r>
    <r>
      <rPr>
        <sz val="8"/>
        <rFont val="Arial"/>
        <family val="2"/>
      </rPr>
      <t xml:space="preserve"> (BF3) After approval of request kick of formal vendor application through commercial process as well. Register service/ product provider on Central Service provider data base for VAT purposes. Determine vendor classification type for flexible services provision.
</t>
    </r>
    <r>
      <rPr>
        <b/>
        <sz val="8"/>
        <rFont val="Arial"/>
        <family val="2"/>
      </rPr>
      <t>EF1:</t>
    </r>
    <r>
      <rPr>
        <sz val="8"/>
        <rFont val="Arial"/>
        <family val="2"/>
      </rPr>
      <t xml:space="preserve"> (BF3) When application is rejected notify market participant about rejection and reasons and allow opportunity to edit application and resubmit. (BF2) (RR2.1)
</t>
    </r>
    <r>
      <rPr>
        <b/>
        <sz val="8"/>
        <rFont val="Arial"/>
        <family val="2"/>
      </rPr>
      <t>RR2.1:</t>
    </r>
    <r>
      <rPr>
        <sz val="8"/>
        <rFont val="Arial"/>
        <family val="2"/>
      </rPr>
      <t xml:space="preserve"> (EF1) Allow market participant to edit application within twenty workdays before automatic system cancellation of the original application. Notify Market participant and Grid access management when application is cancelled.</t>
    </r>
  </si>
  <si>
    <r>
      <t xml:space="preserve">Demonstrate how your solution manages the market participant service / product offering applications per category by assessing and approving / rejecting the application. 
Show each step as per the use case requirements from BF1 to AF2. 
Or
Show the steps used </t>
    </r>
    <r>
      <rPr>
        <b/>
        <sz val="8"/>
        <rFont val="Arial"/>
        <family val="2"/>
      </rPr>
      <t>as per your process</t>
    </r>
    <r>
      <rPr>
        <sz val="8"/>
        <rFont val="Arial"/>
        <family val="2"/>
      </rPr>
      <t xml:space="preserve"> to achieve the assessment and approval / rejection requirements.
</t>
    </r>
    <r>
      <rPr>
        <strike/>
        <sz val="8"/>
        <rFont val="Arial"/>
        <family val="2"/>
      </rPr>
      <t xml:space="preserve">
?? How to accomodate different ways of achieving the same outputs..</t>
    </r>
  </si>
  <si>
    <r>
      <t>Demonstrated that the solution can</t>
    </r>
    <r>
      <rPr>
        <b/>
        <sz val="8"/>
        <rFont val="Arial"/>
        <family val="2"/>
      </rPr>
      <t xml:space="preserve"> provide both market participant applications assessment and approval / rejection requirements</t>
    </r>
    <r>
      <rPr>
        <sz val="8"/>
        <rFont val="Arial"/>
        <family val="2"/>
      </rPr>
      <t>.</t>
    </r>
  </si>
  <si>
    <t>No demonstration provided</t>
  </si>
  <si>
    <t>Demonstrated 8 to 11 requirements</t>
  </si>
  <si>
    <t>Demonstrated 4 to 7 requirements</t>
  </si>
  <si>
    <t>Demonstrated 0 - 3 requirements</t>
  </si>
  <si>
    <t>Demo_CET9</t>
  </si>
  <si>
    <t>Demo_CET10</t>
  </si>
  <si>
    <t>Demo_CET11</t>
  </si>
  <si>
    <t>Demo_CET12</t>
  </si>
  <si>
    <t>Demo_CET13</t>
  </si>
  <si>
    <r>
      <t xml:space="preserve">Demonstrate how your solution </t>
    </r>
    <r>
      <rPr>
        <b/>
        <sz val="8"/>
        <rFont val="Arial"/>
        <family val="2"/>
      </rPr>
      <t xml:space="preserve">manages the market participant service / product offering applications per category by assessing and approving / rejecting the application. </t>
    </r>
    <r>
      <rPr>
        <sz val="8"/>
        <rFont val="Arial"/>
        <family val="2"/>
      </rPr>
      <t xml:space="preserve">
Show each step as per the use case requirements from BF1 to AF2. 
Or
Show the steps used </t>
    </r>
    <r>
      <rPr>
        <b/>
        <sz val="8"/>
        <rFont val="Arial"/>
        <family val="2"/>
      </rPr>
      <t>as per your process</t>
    </r>
    <r>
      <rPr>
        <sz val="8"/>
        <rFont val="Arial"/>
        <family val="2"/>
      </rPr>
      <t xml:space="preserve"> to achieve the assessment and approval / rejection requirements.
</t>
    </r>
    <r>
      <rPr>
        <strike/>
        <sz val="8"/>
        <rFont val="Arial"/>
        <family val="2"/>
      </rPr>
      <t xml:space="preserve">
?? How to accomodate different ways of achieving the same outputs..</t>
    </r>
  </si>
  <si>
    <r>
      <t xml:space="preserve">Option 1: "All or nothing - Use case outputs"
Demo / evaluate all use case items 
</t>
    </r>
    <r>
      <rPr>
        <b/>
        <sz val="8"/>
        <rFont val="Arial"/>
        <family val="2"/>
      </rPr>
      <t xml:space="preserve">or </t>
    </r>
    <r>
      <rPr>
        <sz val="8"/>
        <rFont val="Arial"/>
        <family val="2"/>
      </rPr>
      <t xml:space="preserve">
No demo or not all requirements demonstrated</t>
    </r>
  </si>
  <si>
    <r>
      <rPr>
        <b/>
        <sz val="8"/>
        <rFont val="Arial"/>
        <family val="2"/>
      </rPr>
      <t>No demonstration</t>
    </r>
    <r>
      <rPr>
        <sz val="8"/>
        <rFont val="Arial"/>
        <family val="2"/>
      </rPr>
      <t xml:space="preserve"> provided 
or 
</t>
    </r>
    <r>
      <rPr>
        <b/>
        <sz val="8"/>
        <rFont val="Arial"/>
        <family val="2"/>
      </rPr>
      <t>not all requirements</t>
    </r>
    <r>
      <rPr>
        <sz val="8"/>
        <rFont val="Arial"/>
        <family val="2"/>
      </rPr>
      <t xml:space="preserve"> (provide both market participant applications assessment and approval / rejection requirements) </t>
    </r>
    <r>
      <rPr>
        <b/>
        <sz val="8"/>
        <rFont val="Arial"/>
        <family val="2"/>
      </rPr>
      <t xml:space="preserve">demonstrated. </t>
    </r>
  </si>
  <si>
    <t>Option 2: "Count number of use case items demonstrated"
Split? BFs and rest??</t>
  </si>
  <si>
    <t>Selection Options
Yes - Demonstrated and meets requirement
No - Not demonstrated or does not meet requiremnt</t>
  </si>
  <si>
    <r>
      <t xml:space="preserve">Demonstrate how your solution manages the </t>
    </r>
    <r>
      <rPr>
        <b/>
        <sz val="8"/>
        <rFont val="Arial"/>
        <family val="2"/>
      </rPr>
      <t xml:space="preserve">market participant service / product offering applications per category by assessing and approving / rejecting the application. </t>
    </r>
    <r>
      <rPr>
        <sz val="8"/>
        <rFont val="Arial"/>
        <family val="2"/>
      </rPr>
      <t xml:space="preserve">
Show each step as per the use case requirements from BF1 to AF2. 
Or
Show the steps used </t>
    </r>
    <r>
      <rPr>
        <b/>
        <sz val="8"/>
        <rFont val="Arial"/>
        <family val="2"/>
      </rPr>
      <t>as per your process</t>
    </r>
    <r>
      <rPr>
        <sz val="8"/>
        <rFont val="Arial"/>
        <family val="2"/>
      </rPr>
      <t xml:space="preserve"> to achieve the assessment and approval / rejection requirements.
</t>
    </r>
    <r>
      <rPr>
        <strike/>
        <sz val="8"/>
        <rFont val="Arial"/>
        <family val="2"/>
      </rPr>
      <t>?? How to accomodate different ways of achieving the same outputs..</t>
    </r>
  </si>
  <si>
    <t>3. No</t>
  </si>
  <si>
    <t>Option 3: Evalutate per use case item - each item the same weight</t>
  </si>
  <si>
    <t>RR2.1</t>
  </si>
  <si>
    <t xml:space="preserve">Option 4: Evalutate per use case item, but give basic flows (BFs) greater weight. </t>
  </si>
  <si>
    <t>Requirement</t>
  </si>
  <si>
    <t>Term</t>
  </si>
  <si>
    <t>Definition</t>
  </si>
  <si>
    <t>Virtual Wheeling</t>
  </si>
  <si>
    <t>Account</t>
  </si>
  <si>
    <t>In the billing system – accounts are the entities for which bills are created. Each customer should have at least one account. An account contains information that controls when bills are created and how they are configured to apply contractual terms.</t>
  </si>
  <si>
    <t>Account Classification</t>
  </si>
  <si>
    <t>In the billing system – account classification for large power users, small power users, prepayment users etc.</t>
  </si>
  <si>
    <t>Billing system</t>
  </si>
  <si>
    <t>Customer Care and Billing system (CC&amp;B)</t>
  </si>
  <si>
    <t>Business Rule</t>
  </si>
  <si>
    <t>A business rule is a rule that defines or constrains some aspect of business and always resolves to either true or false. Business rules are intended to assert business structure or to control or influence the behaviour of the business.</t>
  </si>
  <si>
    <t>Business rules describe the operations, definitions and constraints that apply to an organization. Business rules can apply to people, processes, corporate behaviour and computing systems in an organization, and are put in place to help the organization achieve its goals.</t>
  </si>
  <si>
    <t>Buyer</t>
  </si>
  <si>
    <t>A customer, trader or a corporate entity that purchases the wheeled energy.</t>
  </si>
  <si>
    <t>Consolidated account</t>
  </si>
  <si>
    <t>In the billing system – a parent account to consolidate financial information from multiple accounts into a single monthly statement and possibly apply wheeled energy refunds / credits.</t>
  </si>
  <si>
    <t>Corporate Entity</t>
  </si>
  <si>
    <t>A buyer of the wheeled energy for customer accounts that are related or inter-related as defined in Section 2 of the Companies Act 2008.</t>
  </si>
  <si>
    <t>Energy Offset</t>
  </si>
  <si>
    <t>Generator produces for own use, but at times may export energy onto the Eskom network. The generator does not want to sell this energy to Eskom but would like a credit on their account for the energy produced.</t>
  </si>
  <si>
    <t>Energy Wheeling</t>
  </si>
  <si>
    <r>
      <t>Energy wheeling is the delivery of energy from a generator to an end-user located in another area using an existing distribution or transmission networks. This may also be across multiple different distribution networks, such as through Eskom to a municipality. All customers therefore have energy wheeled to them, whether it’s supplied by Eskom or from a third-party independent power producer (IPP). A simple example of wheeling could be an IPP solar farm based in the Northern Cape, selling its energy to a corporate company in Gauteng and the electricity is delivered using Eskom’s transmission network and the municipal distribution network</t>
    </r>
    <r>
      <rPr>
        <sz val="9"/>
        <color rgb="FF696565"/>
        <rFont val="Arial"/>
        <family val="2"/>
      </rPr>
      <t>. </t>
    </r>
  </si>
  <si>
    <t xml:space="preserve">Energy wheeling </t>
  </si>
  <si>
    <t xml:space="preserve">An energy wheeling configuration should minimally have: </t>
  </si>
  <si>
    <t>configuration</t>
  </si>
  <si>
    <t>-       Association / link between generators and off takers e.g., via accounts, service agreements, premises or meters</t>
  </si>
  <si>
    <t>-       Association / link between consolidated accounts for buyers (corporate entities or traders) and their load accounts</t>
  </si>
  <si>
    <t>-       Wheeling allocation option - percentage / amount of wheeled energy allocation per generator / off taker</t>
  </si>
  <si>
    <t>-       Financial refund / credit option</t>
  </si>
  <si>
    <t>Generator</t>
  </si>
  <si>
    <t>Typically, IPPs.</t>
  </si>
  <si>
    <t>Head-end System</t>
  </si>
  <si>
    <t>A head-end system is hardware and software that receives the stream of meter data brought back to the utility through the advanced metering infrastructure. Head-end systems may perform a limited amount of data validation before either making the data available for other systems to request or pushing the data out to other systems.</t>
  </si>
  <si>
    <t xml:space="preserve">Independent Power </t>
  </si>
  <si>
    <t>Independent power producers are non-utility generators that are typically not owned by the national electricity company or public utility. IPPs generate electricity for sale to the national electricity network. They can also sell power to a single third-party via customer via a power purchase agreement (PPA).</t>
  </si>
  <si>
    <t>Producer</t>
  </si>
  <si>
    <t>MV90</t>
  </si>
  <si>
    <t>MV90, a metering data acquisition system, is used to retrieve customer and statistical meter readings for the purpose of customer billing and settlements.</t>
  </si>
  <si>
    <t>Off taker</t>
  </si>
  <si>
    <t>An off taker is the purchaser of energy.</t>
  </si>
  <si>
    <t>Person</t>
  </si>
  <si>
    <t>In the billing system – a person exists for every individual or business with which your company has contact. Besides customers, persons exist for landlords, contractors, accountants at corporate customers, third party guarantors, energy distributors, collection agencies etc.</t>
  </si>
  <si>
    <t xml:space="preserve">Power purchase </t>
  </si>
  <si>
    <t>A power purchase agreement is a contractual agreement between energy buyers and sellers.</t>
  </si>
  <si>
    <t>agreement</t>
  </si>
  <si>
    <t>Premise</t>
  </si>
  <si>
    <t>In the billing system – a premise is created for every location to which a company supplies service. A premise contains information describing the address and characteristics that determine tax jurisdictions etc.</t>
  </si>
  <si>
    <t>Process</t>
  </si>
  <si>
    <t>A series of actions or steps taken in order to achieve a particular goal.</t>
  </si>
  <si>
    <t xml:space="preserve">Qualifying customer </t>
  </si>
  <si>
    <t>Qualifying customer accounts:
-       Accounts that meet Eskom requirements for wheeling e.g., less than the stipulated outstanding debt. 
-       Additional business rules to be provided.</t>
  </si>
  <si>
    <t>Revenue class</t>
  </si>
  <si>
    <t>In the billing system – revenue class per service agreement e.g., commercial, industrial, mining and agriculture etc.</t>
  </si>
  <si>
    <t>Service agreement</t>
  </si>
  <si>
    <t>In the billing system – a service agreement is seen as a contract between a company and a customer. A service agreement contains the terms and conditions controlling how the system calculates charges for the specific service supplied to the customer.</t>
  </si>
  <si>
    <t>Service point</t>
  </si>
  <si>
    <t>In the billing system – a service point is a specific location at a premise where a company supplies service. A service point contains information describing the type of service and how it is measured.</t>
  </si>
  <si>
    <t xml:space="preserve">Standard industrial </t>
  </si>
  <si>
    <t>The standard industrial classification (SIC) are four-digit codes that categorize the industries that companies belong to, based on their business activities.</t>
  </si>
  <si>
    <t>classification</t>
  </si>
  <si>
    <t>Standard offer programme / platform</t>
  </si>
  <si>
    <t>The standard offer programme, to procure power from companies who have existing generation capacity for a period of three years. The standard offer approach allows Eskom to purchase electricity at an established price calculated at the avoided cost of own generation (including long term energy purchases from independent power producers).</t>
  </si>
  <si>
    <t>System</t>
  </si>
  <si>
    <t>An organized, purposeful structure that consists of interrelated and interdependent elements (components, entities, factors, members, parts etc.). These elements continually influence one another (directly or indirectly) to maintain their activity and the existence of the system, to achieve the goal of the system.</t>
  </si>
  <si>
    <t>Time-of-use</t>
  </si>
  <si>
    <t>Time-of-use, or TOU as it is commonly referred to, is the segregation of energy rates based on the time in which the energy is being consumed. TOU is a way in which utility providers attempt to alleviate demand during peak periods by enforcing a tariff structure that charges an increased rate within the typical peak consumption time periods.</t>
  </si>
  <si>
    <t>Trader</t>
  </si>
  <si>
    <t>A party that buys and sells energy for commercial purposes.</t>
  </si>
  <si>
    <t>Virtual wheeling</t>
  </si>
  <si>
    <t>The aggregating of data from the loads and generators and against this a refund is provided for the wheeled energy on a consolidated basis.</t>
  </si>
  <si>
    <t>Wheeled energy refund</t>
  </si>
  <si>
    <t>The financial refund for wheeled energy at the applicable Gen-Wheeling tariff in peak, standard and off-peak periods for each month, as set out in the Gen-Wheeling schedule of standard prices in the commercial terms set out in the virtual wheeling agreement.</t>
  </si>
  <si>
    <t>Dx CET</t>
  </si>
  <si>
    <t>ALFS</t>
  </si>
  <si>
    <t xml:space="preserve">Meter data (electricity consumption) upload system that consolidates MV90 interval meter reading per consumer into CC&amp;B. </t>
  </si>
  <si>
    <t>Ancillary Services</t>
  </si>
  <si>
    <t>Are defined reserves, black start and islanding, energy imbalance (constrained generation), reactive power and voltage control. Refers to services procured by the System Operator to maintain the security of the Integrated Power System.</t>
  </si>
  <si>
    <t>Black Start</t>
  </si>
  <si>
    <t>Black start is a generating plant capable of starting itself, energising a transmission line and picking up a load within controlled frequency and voltage limits and is required in the event of a network failure. The need for this ancillary service arises when an event or significant incident will result in a partial or total system blackout</t>
  </si>
  <si>
    <t>The Distribution System / Network Operator</t>
  </si>
  <si>
    <t>The Distribution System/Network Operator (DSO/ DNO) (also known as Network Management Centre) is responsible for the operating and passive management of the distribution power system. This is to ensure integrity, security, reliability, and resilience are maintained as prescribed by the ORHVS, NERSA minimum standards, and South Africa (SA) codes obligations.</t>
  </si>
  <si>
    <t>Distribution Energy Trader</t>
  </si>
  <si>
    <t>Distribution Energy Commercial Trader (Dx CET) is sometimes referred to as a Virtual Power Plant (VPP). The Distribution System Operator (DSO) requires a set of tools to enable them to trade energy needs with Transmission (Tx), Generation (Gx), Independent Power Producers (IPP’s) and Customers. The proposed tools should enable the following functionality in Distribution (Dx): Load forecasting, Bidding, Trading, Purchasing, Contracting and Settlements.</t>
  </si>
  <si>
    <t>Enterprise Historian</t>
  </si>
  <si>
    <t>Enterprise-wide data historian collects, archives and distributes tremendous volumes of real-time production information at extremely high speeds to enable business users to manage the dynamic energy landscape in the business.</t>
  </si>
  <si>
    <t>Grid Code</t>
  </si>
  <si>
    <t xml:space="preserve">The national Grid Code is documenting best practices nationally and internationally to provide guidance for the regulation of the Electrical networks and System operations. </t>
  </si>
  <si>
    <t>Meter data acquisition system collecting interval readings named MV90.</t>
  </si>
  <si>
    <t>Set of activities that describe how an activity is executed.</t>
  </si>
  <si>
    <t>An organized, purposeful structure that consists of interrelated and interdependent elements (components, entities, factors, members, parts etc.). These elements continually influence one another (directly or indirectly) to maintain their activity and the existence of the system, in order to achieve the goal of the system</t>
  </si>
  <si>
    <t>Abbreviation</t>
  </si>
  <si>
    <t>Description</t>
  </si>
  <si>
    <t>CC&amp;B</t>
  </si>
  <si>
    <t>Customer Care and Billing system</t>
  </si>
  <si>
    <t>Distribution Commercial Energy Trader system</t>
  </si>
  <si>
    <t>Group IT</t>
  </si>
  <si>
    <t>Group Information Technology Division, also referred to as Group IT</t>
  </si>
  <si>
    <t>IPP</t>
  </si>
  <si>
    <t>Independent Power Producer</t>
  </si>
  <si>
    <t>MDMS</t>
  </si>
  <si>
    <t>Meter Data Management System</t>
  </si>
  <si>
    <t>PPA</t>
  </si>
  <si>
    <t>Power Purchase Agreement</t>
  </si>
  <si>
    <t>Systems Applications and Products - Finance</t>
  </si>
  <si>
    <t>SIC</t>
  </si>
  <si>
    <t>Standard Industrial Code</t>
  </si>
  <si>
    <t>TOU</t>
  </si>
  <si>
    <t>Time Of Use</t>
  </si>
  <si>
    <t>DER</t>
  </si>
  <si>
    <t>Distribution Energy Resources</t>
  </si>
  <si>
    <t>DRA</t>
  </si>
  <si>
    <t>Distribution Regional Aggregator</t>
  </si>
  <si>
    <t>DSO</t>
  </si>
  <si>
    <t>Distribution System Operator</t>
  </si>
  <si>
    <t>Dx</t>
  </si>
  <si>
    <t>Distribution</t>
  </si>
  <si>
    <t>NERSA</t>
  </si>
  <si>
    <t>National Energy Regulator for South Africa</t>
  </si>
  <si>
    <t>NMC</t>
  </si>
  <si>
    <t>Network Management Centre</t>
  </si>
  <si>
    <t>OMS</t>
  </si>
  <si>
    <t>Outage Management System</t>
  </si>
  <si>
    <t>ORHVS</t>
  </si>
  <si>
    <t>Operating Regulations for High Voltage Systems</t>
  </si>
  <si>
    <t>SA</t>
  </si>
  <si>
    <t>South Africa</t>
  </si>
  <si>
    <t>Systems, Applications &amp; Products in Data Processing</t>
  </si>
  <si>
    <t>SAP FI</t>
  </si>
  <si>
    <t>Systems, Applications &amp; Products in Data Processing Financial Investment Module</t>
  </si>
  <si>
    <t>SAP HR</t>
  </si>
  <si>
    <t>Systems, Applications &amp; Products in Data Processing Human Resources Module</t>
  </si>
  <si>
    <t>TSO</t>
  </si>
  <si>
    <t>Transmission System Operator</t>
  </si>
  <si>
    <t>Tx</t>
  </si>
  <si>
    <t>Transmission</t>
  </si>
  <si>
    <t>VPP</t>
  </si>
  <si>
    <t>Virtual Power Plant</t>
  </si>
  <si>
    <t>Energy Provider</t>
  </si>
  <si>
    <t>Market Cap (in billions USD)</t>
  </si>
  <si>
    <t>Based in:</t>
  </si>
  <si>
    <t>U.S. Customers (in millions)</t>
  </si>
  <si>
    <t>Global Customers (in millions)</t>
  </si>
  <si>
    <t>Enel Energy</t>
  </si>
  <si>
    <t>$89.95</t>
  </si>
  <si>
    <t>Italy</t>
  </si>
  <si>
    <t>N/A</t>
  </si>
  <si>
    <t>EDF</t>
  </si>
  <si>
    <t>$79.86</t>
  </si>
  <si>
    <t>France</t>
  </si>
  <si>
    <t>Engie</t>
  </si>
  <si>
    <t>$67.3</t>
  </si>
  <si>
    <t>E.ON</t>
  </si>
  <si>
    <t>$46.45</t>
  </si>
  <si>
    <t>Germany</t>
  </si>
  <si>
    <t>Iberdrola</t>
  </si>
  <si>
    <t>$40.81</t>
  </si>
  <si>
    <t>Spain</t>
  </si>
  <si>
    <t>Exelon Corp</t>
  </si>
  <si>
    <t>$34.44</t>
  </si>
  <si>
    <t>United States</t>
  </si>
  <si>
    <t>General Electric</t>
  </si>
  <si>
    <t>$33.96</t>
  </si>
  <si>
    <t>The Kansai Electric Power Co</t>
  </si>
  <si>
    <t>$29.79</t>
  </si>
  <si>
    <t>Japan</t>
  </si>
  <si>
    <t>Chubu Electric Power Co</t>
  </si>
  <si>
    <t>$27.34</t>
  </si>
  <si>
    <t>Southern Company</t>
  </si>
  <si>
    <t>$21.42</t>
  </si>
  <si>
    <t xml:space="preserve">Axpo Trading </t>
  </si>
  <si>
    <t>Switzerland</t>
  </si>
  <si>
    <t>BP Energy Trading</t>
  </si>
  <si>
    <t>UK</t>
  </si>
  <si>
    <t>Centrica Energy Trading</t>
  </si>
  <si>
    <t>Equinor Energy Trading</t>
  </si>
  <si>
    <t>Norway</t>
  </si>
  <si>
    <t>Fortum Markets</t>
  </si>
  <si>
    <t>Finland</t>
  </si>
  <si>
    <t>OMV Energy Trading</t>
  </si>
  <si>
    <t>Austria</t>
  </si>
  <si>
    <t>Repsol Energy Trading</t>
  </si>
  <si>
    <t>RWE Supply &amp; Trading</t>
  </si>
  <si>
    <t>Shell Energy Trading</t>
  </si>
  <si>
    <t>Netherlands</t>
  </si>
  <si>
    <t>Statkraft Markets GmbH</t>
  </si>
  <si>
    <t>Total Energies Gas &amp; Power</t>
  </si>
  <si>
    <t>Uniper Global Commodities</t>
  </si>
  <si>
    <t>Vattenfall Energy Trading</t>
  </si>
  <si>
    <t>Sweden</t>
  </si>
  <si>
    <t>C28</t>
  </si>
  <si>
    <t>Examples of Top energy providers:</t>
  </si>
  <si>
    <r>
      <t xml:space="preserve">Eskom requires a proven </t>
    </r>
    <r>
      <rPr>
        <b/>
        <sz val="8"/>
        <rFont val="Arial"/>
        <family val="2"/>
      </rPr>
      <t xml:space="preserve">solution that has a track record of use in </t>
    </r>
    <r>
      <rPr>
        <b/>
        <u/>
        <sz val="8"/>
        <rFont val="Arial"/>
        <family val="2"/>
      </rPr>
      <t>top utilities</t>
    </r>
    <r>
      <rPr>
        <b/>
        <sz val="8"/>
        <rFont val="Arial"/>
        <family val="2"/>
      </rPr>
      <t>.</t>
    </r>
    <r>
      <rPr>
        <sz val="8"/>
        <rFont val="Arial"/>
        <family val="2"/>
      </rPr>
      <t xml:space="preserve">
See examples of "top utilities" in Top energy providers sheet.
</t>
    </r>
  </si>
  <si>
    <r>
      <t xml:space="preserve">Eskom requires an Energy Trading solution that is able to:
Manage user access considering both Eskom internal users and external market participant users.
</t>
    </r>
    <r>
      <rPr>
        <b/>
        <sz val="8"/>
        <rFont val="Arial"/>
        <family val="2"/>
      </rPr>
      <t>BF1:</t>
    </r>
    <r>
      <rPr>
        <sz val="8"/>
        <rFont val="Arial"/>
        <family val="2"/>
      </rPr>
      <t xml:space="preserve"> Eskom user apply on e-forms to gain access on Dx CET system and after approval the system
administrator will receive the approved request via e-forms workflow.
System response: Administrator receive approved e-form request.
</t>
    </r>
    <r>
      <rPr>
        <b/>
        <sz val="8"/>
        <rFont val="Arial"/>
        <family val="2"/>
      </rPr>
      <t>BF2:</t>
    </r>
    <r>
      <rPr>
        <sz val="8"/>
        <rFont val="Arial"/>
        <family val="2"/>
      </rPr>
      <t xml:space="preserve"> System administrator will create user access
System response: Notify affected user.
</t>
    </r>
    <r>
      <rPr>
        <b/>
        <sz val="8"/>
        <rFont val="Arial"/>
        <family val="2"/>
      </rPr>
      <t>BF3:</t>
    </r>
    <r>
      <rPr>
        <sz val="8"/>
        <rFont val="Arial"/>
        <family val="2"/>
      </rPr>
      <t xml:space="preserve"> Market participant register in Dx CET Web portal to gain access as a service/ product provider.
System response: Notify market participant about successful registration confirming username and
password.
</t>
    </r>
    <r>
      <rPr>
        <b/>
        <sz val="8"/>
        <rFont val="Arial"/>
        <family val="2"/>
      </rPr>
      <t>BF4:</t>
    </r>
    <r>
      <rPr>
        <sz val="8"/>
        <rFont val="Arial"/>
        <family val="2"/>
      </rPr>
      <t xml:space="preserve"> System administrator will manage the user access according to contractual durations and level of access profiles
System response: When user profile/ status change or when market participant contract expires revoke user
access (RR1.1)
</t>
    </r>
    <r>
      <rPr>
        <b/>
        <sz val="8"/>
        <rFont val="Arial"/>
        <family val="2"/>
      </rPr>
      <t>RR1.1:</t>
    </r>
    <r>
      <rPr>
        <sz val="8"/>
        <rFont val="Arial"/>
        <family val="2"/>
      </rPr>
      <t xml:space="preserve"> (BF4) Whenever a user business profile of employment status change or market participant contract expire revoke system access or notify administrator to revoke/ reinstate access?</t>
    </r>
  </si>
  <si>
    <r>
      <t xml:space="preserve">Demonstrate how your solution </t>
    </r>
    <r>
      <rPr>
        <b/>
        <sz val="8"/>
        <rFont val="Arial"/>
        <family val="2"/>
      </rPr>
      <t>manages user access considering both Eskom internal users and external market participant users.</t>
    </r>
    <r>
      <rPr>
        <sz val="8"/>
        <rFont val="Arial"/>
        <family val="2"/>
      </rPr>
      <t xml:space="preserve">
- Show each step as per the use case requirements </t>
    </r>
    <r>
      <rPr>
        <b/>
        <u/>
        <sz val="8"/>
        <rFont val="Arial"/>
        <family val="2"/>
      </rPr>
      <t>BF2 and BF3 only.</t>
    </r>
    <r>
      <rPr>
        <sz val="8"/>
        <rFont val="Arial"/>
        <family val="2"/>
      </rPr>
      <t xml:space="preserve">
- Ensure that you clearly indicate which use case requirement you are demonstrating e.g. BF2, BF23..</t>
    </r>
  </si>
  <si>
    <r>
      <t xml:space="preserve">Demonstrate how your solution </t>
    </r>
    <r>
      <rPr>
        <b/>
        <sz val="8"/>
        <rFont val="Arial"/>
        <family val="2"/>
      </rPr>
      <t xml:space="preserve">manages the market participant service / product offering applications per category by assessing and approving / rejecting the application. 
</t>
    </r>
    <r>
      <rPr>
        <sz val="8"/>
        <rFont val="Arial"/>
        <family val="2"/>
      </rPr>
      <t xml:space="preserve">
- Show each step as per the use case requirements from </t>
    </r>
    <r>
      <rPr>
        <b/>
        <u/>
        <sz val="8"/>
        <rFont val="Arial"/>
        <family val="2"/>
      </rPr>
      <t>BF1, BF3, BF5, BF6, BF7 and AF1 only.</t>
    </r>
    <r>
      <rPr>
        <sz val="8"/>
        <rFont val="Arial"/>
        <family val="2"/>
      </rPr>
      <t xml:space="preserve">
- Ensure that you clearly indicate which use case requirement you are demonstrating e.g. BF1, BF2...</t>
    </r>
  </si>
  <si>
    <t>Payments</t>
  </si>
  <si>
    <t>Receipting</t>
  </si>
  <si>
    <t>Reconciliations</t>
  </si>
  <si>
    <r>
      <t xml:space="preserve">Demonstrate your settlements process, </t>
    </r>
    <r>
      <rPr>
        <b/>
        <u/>
        <sz val="8"/>
        <rFont val="Arial"/>
        <family val="2"/>
      </rPr>
      <t>showing payments, receipting and reconciliations</t>
    </r>
    <r>
      <rPr>
        <sz val="8"/>
        <rFont val="Arial"/>
        <family val="2"/>
      </rPr>
      <t xml:space="preserve"> thereof.
- Ensure that you clearly indicate which requirement you are demonstrating e.g. payments, receipting or reconciliations.</t>
    </r>
  </si>
  <si>
    <r>
      <t xml:space="preserve">Eskom requires an Energy Trading solution that is able to:
Consolidate and validate metering for all market participants according their respective contractual agreements in preparation to settle account agreements.
</t>
    </r>
    <r>
      <rPr>
        <b/>
        <sz val="8"/>
        <rFont val="Arial"/>
        <family val="2"/>
      </rPr>
      <t>BF1</t>
    </r>
    <r>
      <rPr>
        <sz val="8"/>
        <rFont val="Arial"/>
        <family val="2"/>
      </rPr>
      <t xml:space="preserve">: Receive contracted metering data 
System response: Display data 
</t>
    </r>
    <r>
      <rPr>
        <b/>
        <sz val="8"/>
        <rFont val="Arial"/>
        <family val="2"/>
      </rPr>
      <t>BF2:</t>
    </r>
    <r>
      <rPr>
        <sz val="8"/>
        <rFont val="Arial"/>
        <family val="2"/>
      </rPr>
      <t xml:space="preserve"> Validate actual versus contracted energy 
System response: Display actual versus contracted and differences
</t>
    </r>
    <r>
      <rPr>
        <b/>
        <sz val="8"/>
        <rFont val="Arial"/>
        <family val="2"/>
      </rPr>
      <t>BF3:</t>
    </r>
    <r>
      <rPr>
        <sz val="8"/>
        <rFont val="Arial"/>
        <family val="2"/>
      </rPr>
      <t xml:space="preserve"> Manage exceptions
System response: Save updated corrections
</t>
    </r>
    <r>
      <rPr>
        <b/>
        <sz val="8"/>
        <rFont val="Arial"/>
        <family val="2"/>
      </rPr>
      <t>BF4:</t>
    </r>
    <r>
      <rPr>
        <sz val="8"/>
        <rFont val="Arial"/>
        <family val="2"/>
      </rPr>
      <t xml:space="preserve"> Validation approval 
System response: Save approved validations</t>
    </r>
  </si>
  <si>
    <t>Select option in column I and add comments in column L</t>
  </si>
  <si>
    <t>Select Evaluators Response in column J and add comments in column K</t>
  </si>
  <si>
    <t>Select Evaluators Response in column M and add comments in column N</t>
  </si>
  <si>
    <t>Select Vendors Response in column E and add evidence and comments in columns F and G</t>
  </si>
  <si>
    <t>Select Vendors Response in column D and add evidence and comments in columns E and F</t>
  </si>
  <si>
    <t>Select Evaluators Response in column L and add comments in column M</t>
  </si>
  <si>
    <t>Select Vendors Response in column F and add evidence and comments in columns G and H</t>
  </si>
  <si>
    <t>Select Options in column M and add comments in column P</t>
  </si>
  <si>
    <t>Commercial clearance of Bids</t>
  </si>
  <si>
    <t>Commercial
clearance of
bids received</t>
  </si>
  <si>
    <t>NF16</t>
  </si>
  <si>
    <t>NF17</t>
  </si>
  <si>
    <t>No performance testing results received.</t>
  </si>
  <si>
    <t>Performance Testing</t>
  </si>
  <si>
    <t>Solution supports &lt; 500 concurrent users.</t>
  </si>
  <si>
    <t>Solution supports &gt;= 500 concurrent users.</t>
  </si>
  <si>
    <t>Average throughput for 500 concurrent users &gt;= 142000 bytes / sec.</t>
  </si>
  <si>
    <r>
      <t xml:space="preserve">Vendor Response: </t>
    </r>
    <r>
      <rPr>
        <sz val="8"/>
        <color theme="1"/>
        <rFont val="Arial"/>
        <family val="2"/>
      </rPr>
      <t>Select from drop down list</t>
    </r>
    <r>
      <rPr>
        <b/>
        <sz val="8"/>
        <color theme="1"/>
        <rFont val="Arial"/>
        <family val="2"/>
      </rPr>
      <t xml:space="preserve"> / </t>
    </r>
    <r>
      <rPr>
        <sz val="8"/>
        <color theme="1"/>
        <rFont val="Arial"/>
        <family val="2"/>
      </rPr>
      <t>list applicable items.</t>
    </r>
  </si>
  <si>
    <t>Solution supports an average hit rate &gt; 114 hits / sec.</t>
  </si>
  <si>
    <t>Solution supports an average hit rate &lt;= 114 hits / sec.</t>
  </si>
  <si>
    <t xml:space="preserve">Eskom requires the solution to be able  to handle 500 concurrent users. </t>
  </si>
  <si>
    <t xml:space="preserve">Eskom requires the solution to support average throughput for 500 concurrent users to be 142000 bytes / sec or more.  </t>
  </si>
  <si>
    <t>Average throughput for 500 concurrent users &gt;= 71000 and &lt; 142000 bytes / sec.</t>
  </si>
  <si>
    <t>Average throughput for 500 concurrent users &lt; 71000 bytes / sec.</t>
  </si>
  <si>
    <t xml:space="preserve">Eskom requires the solution to have an average hit rate greater than 114 hits / sec for 500 concurrent users. </t>
  </si>
  <si>
    <t>In your technical response, please provide performance testing results showing how many concurrent users the solution can handle.</t>
  </si>
  <si>
    <t xml:space="preserve">In your technical response, please provide performance testing results for average hits per second for 500 concurrent users.
</t>
  </si>
  <si>
    <t xml:space="preserve">In your technical response, please provide performance testing results average throughput bytes / sec for 500 concurrent users.
</t>
  </si>
  <si>
    <r>
      <t xml:space="preserve">Cloud Risk Assessment
Cloud Policy
2.2.12.1 The cloud service model (i.e. IaaS, PaaS or SaaS) and deployment model (i.e. Private, Public or Hybrid cloud) shall be determined by a pre-defined set of Cloud selection criteria as per the Selection Criteria set out by Group IT.
Note:
- Cloud Risk Assessment - </t>
    </r>
    <r>
      <rPr>
        <b/>
        <sz val="8"/>
        <rFont val="Arial"/>
        <family val="2"/>
      </rPr>
      <t>SaaS is the required CSM</t>
    </r>
  </si>
  <si>
    <t>K8</t>
  </si>
  <si>
    <t>K9</t>
  </si>
  <si>
    <t>IT00641 Dx Commercial Energy Trader (Dx CET)</t>
  </si>
  <si>
    <t xml:space="preserve">Eskom requires the solution to provide mechanisms / plugins to integrate to  an archiving solution i.e. solution should support data management and protection mechanisms as well as backup mechanisms.
</t>
  </si>
  <si>
    <t>90th percentile transaction response time for 500 concurrent users &lt;= 3 seconds.</t>
  </si>
  <si>
    <t>90th percentile transaction response time for 500 concurrent users &gt;= 4 seconds.</t>
  </si>
  <si>
    <r>
      <t xml:space="preserve">Eskom requires the </t>
    </r>
    <r>
      <rPr>
        <b/>
        <sz val="8"/>
        <rFont val="Arial"/>
        <family val="2"/>
      </rPr>
      <t>vendor to have previous experience</t>
    </r>
    <r>
      <rPr>
        <sz val="8"/>
        <rFont val="Arial"/>
        <family val="2"/>
      </rPr>
      <t xml:space="preserve"> in the implementation of the system/solution:
- Installation / implementation of the solution at top utilities.
- At least 5+ years experience.</t>
    </r>
  </si>
  <si>
    <t>Respond to CET, Virtual Wheeling or both.</t>
  </si>
  <si>
    <t>Eskom requires the solution to have the 90th percentile transaction response time for 500 concurrent users to be less or equal to 3 seconds..</t>
  </si>
  <si>
    <t>In your technical response, please provide performance testing results for 90th percentile transaction response time for 500 concurrent users.</t>
  </si>
  <si>
    <t>Note: Tenderers who do not meet the gatekeeper requirements will be disqualified and not move to the Desktop evaluations.</t>
  </si>
  <si>
    <t xml:space="preserve">Note: Tenderers who do not meet the minimum threshold of 70% for Desktop Evaluation will be disqualified and will not proceed to the Technical Demonstration evaluations. </t>
  </si>
  <si>
    <t>Note: Tenderers who do not meet the minimum threshold of 60% for the Technical Demonstration will be disqualified and will not proceed to the next stage of evaluation</t>
  </si>
  <si>
    <t>Third-Party Attestation Reports</t>
  </si>
  <si>
    <t>(100%) Fully comply with requirement - Tenderer does have a valid SOC 2 Type II and/or Bridge Letter.</t>
  </si>
  <si>
    <t>(0%) No compliance - Tenderer does not have the SOC 2 Type II Report and/or Bridge Letter.</t>
  </si>
  <si>
    <t>The proposed SaaS solution shall provide e-Discovery capability to identify, collect and produce electronically stored information (ESI) in response to a request for production in a lawsuit or investigation as part of the cloud services offered.</t>
  </si>
  <si>
    <t>(0%) No compliance - The proposed solution does not have e-Discovery capability.</t>
  </si>
  <si>
    <t>The proposed SaaS solution shall employ DDoS protection mechanism.</t>
  </si>
  <si>
    <t>Distributed Denial of Service (DDoS) Protection Mechanism</t>
  </si>
  <si>
    <t>Daily Incremental Back-ups</t>
  </si>
  <si>
    <t xml:space="preserve">Real-time Data Synchronisation/Data Replication </t>
  </si>
  <si>
    <t>Patch Management Process</t>
  </si>
  <si>
    <t>Cyber and Data Breach Incident Notification</t>
  </si>
  <si>
    <t>Significant Changes Notification</t>
  </si>
  <si>
    <t xml:space="preserve">POPIA Compliance </t>
  </si>
  <si>
    <t>Confidentiality or Privacy Policy</t>
  </si>
  <si>
    <t>S13</t>
  </si>
  <si>
    <t>S14</t>
  </si>
  <si>
    <t>S15</t>
  </si>
  <si>
    <t>S16</t>
  </si>
  <si>
    <t>S18</t>
  </si>
  <si>
    <t>S19</t>
  </si>
  <si>
    <t>S20</t>
  </si>
  <si>
    <t>S21</t>
  </si>
  <si>
    <t>S22</t>
  </si>
  <si>
    <t>(100%) Fully comply with requirement - The proposed solution does encrypt data at rest (AES-256) and in transit (TLS 1.2 or later version)</t>
  </si>
  <si>
    <t>(100%) Fully comply with requirement - The proposed solution does have Audit trails, logs, user administration and user activity logs shall be enabled, encrypted, and securely kept with limited access to administrators.</t>
  </si>
  <si>
    <t>(0%) No compliance - The proposed solution does not have Audit trails, logs, user administration and user activity logs shall be enabled, encrypted, and securely kept with limited access to administrators.</t>
  </si>
  <si>
    <t>(0%) No compliance - The proposed solution does not encrypt data at rest (AES-256) and in transit (TLS 1.2 or later version)</t>
  </si>
  <si>
    <t>(100%) Fully comply with requirement - The proposed solution does have e-Discovery capability.</t>
  </si>
  <si>
    <t>(100%) Fully comply with requirement - The proposed solution does support ESB, API's and IPaaS for security, logging and monitoring.</t>
  </si>
  <si>
    <t>Integration to Eskom's existing IdP's such as Microsoft (MS) on-prem active directory (AD) MS Entra ID to enable Multi-factor Authentication (MFA) and Single sign on (SSO).</t>
  </si>
  <si>
    <t>Data Masking
Sensitive data such as PII shall be masked on the non-production environments lessen exposure.</t>
  </si>
  <si>
    <t xml:space="preserve">ISO Certificate </t>
  </si>
  <si>
    <t>Integration to AD and Entra ID</t>
  </si>
  <si>
    <t xml:space="preserve">Encryption Standard </t>
  </si>
  <si>
    <t>Audit trails, logs, user Administration and User Activity Logs</t>
  </si>
  <si>
    <t>Data Masking (PII, Credit Card and Debit Card)</t>
  </si>
  <si>
    <t>Application Security (AppSec) Test</t>
  </si>
  <si>
    <t>Database Security Management</t>
  </si>
  <si>
    <t>S23</t>
  </si>
  <si>
    <t>S24</t>
  </si>
  <si>
    <t>S25</t>
  </si>
  <si>
    <t>S26</t>
  </si>
  <si>
    <t>Web Application Firewall (WAF)</t>
  </si>
  <si>
    <t>Integration Security</t>
  </si>
  <si>
    <t>Disaster Recovery Plan (DRP)/Incident Response Management (IRM) Process</t>
  </si>
  <si>
    <r>
      <rPr>
        <b/>
        <sz val="8"/>
        <color rgb="FF000000"/>
        <rFont val="Arial"/>
        <family val="2"/>
      </rPr>
      <t>Patch Management</t>
    </r>
    <r>
      <rPr>
        <sz val="8"/>
        <color rgb="FF000000"/>
        <rFont val="Arial"/>
        <family val="2"/>
      </rPr>
      <t xml:space="preserve">
Patch Management Process  shall be defined. Software updates and patches shall be tested on development environment prior being deployed into production environment.</t>
    </r>
  </si>
  <si>
    <r>
      <rPr>
        <b/>
        <sz val="8"/>
        <color rgb="FF000000"/>
        <rFont val="Arial"/>
        <family val="2"/>
      </rPr>
      <t>Daily Incremental Back Ups</t>
    </r>
    <r>
      <rPr>
        <sz val="8"/>
        <color rgb="FF000000"/>
        <rFont val="Arial"/>
        <family val="2"/>
      </rPr>
      <t xml:space="preserve">
Incremental daily back-ups shall be done, encrypted, and securely kept offsite. </t>
    </r>
  </si>
  <si>
    <r>
      <rPr>
        <b/>
        <sz val="8"/>
        <color rgb="FF000000"/>
        <rFont val="Arial"/>
        <family val="2"/>
      </rPr>
      <t>POPIA Compliance</t>
    </r>
    <r>
      <rPr>
        <sz val="8"/>
        <color rgb="FF000000"/>
        <rFont val="Arial"/>
        <family val="2"/>
      </rPr>
      <t xml:space="preserve">
The Tenderer shall comply with applicable privacy and protection of personal information Acts such as GDPR in European Union (EU) and POPIA in South Africa (SA) where the cloud service is hosted, where the data is collected and the region where the data subjects are physically located. If hosted in EU, the Tenderer shall confirm that the data of the natural and juristic persons personal Identifiable Information (PII) will be protected.</t>
    </r>
  </si>
  <si>
    <r>
      <rPr>
        <b/>
        <sz val="8"/>
        <color rgb="FF000000"/>
        <rFont val="Arial"/>
        <family val="2"/>
      </rPr>
      <t xml:space="preserve">Confidentiality or Privacy Policy </t>
    </r>
    <r>
      <rPr>
        <sz val="8"/>
        <color rgb="FF000000"/>
        <rFont val="Arial"/>
        <family val="2"/>
      </rPr>
      <t xml:space="preserve">
The Tenderer shall have a confidentiality or privacy policy with regards to its employees, partners and subcontractors.</t>
    </r>
  </si>
  <si>
    <r>
      <rPr>
        <b/>
        <sz val="8"/>
        <color rgb="FF000000"/>
        <rFont val="Arial"/>
        <family val="2"/>
      </rPr>
      <t>Application Security (AppSec) Tests</t>
    </r>
    <r>
      <rPr>
        <sz val="8"/>
        <color rgb="FF000000"/>
        <rFont val="Arial"/>
        <family val="2"/>
      </rPr>
      <t xml:space="preserve">
The Tenderer shall perform static application security test (SAST), and dynamic application security test (DAST), penetration test prior deploying the cloud system to production environments.
</t>
    </r>
  </si>
  <si>
    <r>
      <rPr>
        <b/>
        <sz val="8"/>
        <color rgb="FF000000"/>
        <rFont val="Arial"/>
        <family val="2"/>
      </rPr>
      <t>Cyber or Data Breach Incident Notification</t>
    </r>
    <r>
      <rPr>
        <sz val="8"/>
        <color rgb="FF000000"/>
        <rFont val="Arial"/>
        <family val="2"/>
      </rPr>
      <t xml:space="preserve">
1. Tenderer shall have formal notification process to notify customers of cyber attack and data breach incidents. Please specify the SLA.
</t>
    </r>
  </si>
  <si>
    <r>
      <rPr>
        <b/>
        <sz val="8"/>
        <rFont val="Arial"/>
        <family val="2"/>
      </rPr>
      <t>Significant Changes Notification</t>
    </r>
    <r>
      <rPr>
        <sz val="8"/>
        <rFont val="Arial"/>
        <family val="2"/>
      </rPr>
      <t xml:space="preserve">
The Tenderer shall notify Eskom if there are any significant changes to the business, platform and hosting service provider or any change that could have an impact the security assessment conducted and the auditor’s opinion on the SOC audit.
The Tenderer shall have 1 month, 6 months and 12 months SLA in place.</t>
    </r>
  </si>
  <si>
    <r>
      <rPr>
        <b/>
        <sz val="8"/>
        <color rgb="FF000000"/>
        <rFont val="Arial"/>
        <family val="2"/>
      </rPr>
      <t>Database Security Management</t>
    </r>
    <r>
      <rPr>
        <sz val="8"/>
        <color rgb="FF000000"/>
        <rFont val="Arial"/>
        <family val="2"/>
      </rPr>
      <t xml:space="preserve">
 1. The Tenderer shall place the database behind the perimeter firewall.
2. The Tenderer shall employ database security management tool to provide regulatory compliance (Such as POPIA and GDPR), encryption, key management, granular access controls, flexible data masking, comprehensive activity monitoring, and sophisticated auditing capabilities.
</t>
    </r>
  </si>
  <si>
    <r>
      <rPr>
        <b/>
        <sz val="8"/>
        <color rgb="FF000000"/>
        <rFont val="Arial"/>
        <family val="2"/>
      </rPr>
      <t>DRP/IRM</t>
    </r>
    <r>
      <rPr>
        <sz val="8"/>
        <color rgb="FF000000"/>
        <rFont val="Arial"/>
        <family val="2"/>
      </rPr>
      <t xml:space="preserve">
1. The Tenderer shall have Disaster Recovery Plan (DRP) and Back up Restore Plan defined, annually tested.
2. The Tenderer shall have Incident Response Management (IRM) process defined, and part of the service level agreement (SLA) and master service agreement (MSA).</t>
    </r>
  </si>
  <si>
    <r>
      <rPr>
        <b/>
        <sz val="8"/>
        <rFont val="Arial"/>
        <family val="2"/>
      </rPr>
      <t>ISO27001/17/18</t>
    </r>
    <r>
      <rPr>
        <sz val="8"/>
        <rFont val="Arial"/>
        <family val="2"/>
      </rPr>
      <t xml:space="preserve">
The Tenderer shall have a valid ISO27001, ISO27017 and ISO27018 certificates
</t>
    </r>
  </si>
  <si>
    <t>(100%) Fully Compliant - Tenderer does have ISO27001/17/18 Certificates</t>
  </si>
  <si>
    <t>(0%) No compliance - The Tender does not have ISO27001/17/18</t>
  </si>
  <si>
    <t>Fully comply with requirement - Tenderer does support integration to AD and Entra ID.</t>
  </si>
  <si>
    <t>No compliance - Tenderer does not support integration to AD and Entra ID.</t>
  </si>
  <si>
    <t>(100%) Fully comply with requirement -The proposed SaaS does support RBAC mechanism.</t>
  </si>
  <si>
    <t>(0%) No compliance - The proposed solution does not employ RBAC mechanism.</t>
  </si>
  <si>
    <t>(100%) Fully comply with requirement - The proposed solution does have patch management process.</t>
  </si>
  <si>
    <t>(100%) Fully Compliant - The Tenderer does have a Confidentiality or Privacy Policy.</t>
  </si>
  <si>
    <t>(0%) No Compliance - The Tenderer does not have Confidentiality or Privacy Policy</t>
  </si>
  <si>
    <t>(0%) No compliance - The Tenderer does not perform APPSEC Tests.</t>
  </si>
  <si>
    <t>(100%) Fully comply with requirement - The Tenderer does perform APPSEC tests.</t>
  </si>
  <si>
    <t>(100%) Fully comply with requirement - The Tenderer does have a formal notification process.</t>
  </si>
  <si>
    <t>(0%) No compliance - The Tenderer does not have a formal notification process.</t>
  </si>
  <si>
    <t>(100%) Fully comply with requirement - The database is placed behind the Firewall and tenderer does employ DB Security Management Tool,.</t>
  </si>
  <si>
    <t>(0%) Non Compliance  - The tender does not do Incremental daily back-ups shall be done, encrypted, and securely kept offsite.</t>
  </si>
  <si>
    <t>(0%) No compliance - The proposed solution does not have audit trails, logs, user administration and user activity logs shall be enabled, encrypted, and securely kept with limited access to administrators.</t>
  </si>
  <si>
    <t>(100%) Fully comply with requirement - The proposed solution does mask sensitive data.</t>
  </si>
  <si>
    <t>(100%) Fully comply with requirement - The Tender does replicate data to a secondary site or synchronise data to another site.</t>
  </si>
  <si>
    <t>(0%) No compliance - The tender does not synchronise data to a secondary site.</t>
  </si>
  <si>
    <t>(0%) No compliance - The Tenderer does not have a formal Patch Management Process.</t>
  </si>
  <si>
    <t>(100%) Fully comply with requirement - The Tenderer complies with POPIA and GDPR.</t>
  </si>
  <si>
    <t>(0%) No compliance - The Tenderer does not comply with POPIA and GDPR.</t>
  </si>
  <si>
    <t>(100%) Fully comply with requirement - The proposed solution does employ DDoS protection mechanism.</t>
  </si>
  <si>
    <t xml:space="preserve">(100%) Fully comply with requirement - The proposed solution does employ WAF. </t>
  </si>
  <si>
    <t>(100%) Fully comply with requirement - The proposed solution does have DRP/IRM.</t>
  </si>
  <si>
    <r>
      <rPr>
        <b/>
        <sz val="8"/>
        <rFont val="Arial"/>
        <family val="2"/>
      </rPr>
      <t>DDoS Protection Mechanism</t>
    </r>
    <r>
      <rPr>
        <sz val="8"/>
        <rFont val="Arial"/>
        <family val="2"/>
      </rPr>
      <t xml:space="preserve">
The proposed SaaS solution shall employ DDoS protection mechanism.</t>
    </r>
  </si>
  <si>
    <r>
      <rPr>
        <b/>
        <sz val="8"/>
        <rFont val="Arial"/>
        <family val="2"/>
      </rPr>
      <t>WAF</t>
    </r>
    <r>
      <rPr>
        <sz val="8"/>
        <rFont val="Arial"/>
        <family val="2"/>
      </rPr>
      <t xml:space="preserve">
The Tenderer shall employ Web Application Firewall (WAF) for all internet facing applications and/or web-based applications employed.</t>
    </r>
  </si>
  <si>
    <r>
      <rPr>
        <b/>
        <sz val="8"/>
        <rFont val="Arial"/>
        <family val="2"/>
      </rPr>
      <t>Integration Security</t>
    </r>
    <r>
      <rPr>
        <sz val="8"/>
        <rFont val="Arial"/>
        <family val="2"/>
      </rPr>
      <t xml:space="preserve">
The proposed SaaS solution shall support the prevailing enterprise services bus (ESB), application programmable interfaces (API’s) and Integration Platform as a Service (iPaaS) platforms for security, logging and monitoring for both on-prem, hybrid-cloud and multi-cloud environments.</t>
    </r>
  </si>
  <si>
    <r>
      <rPr>
        <b/>
        <sz val="8"/>
        <rFont val="Arial"/>
        <family val="2"/>
      </rPr>
      <t>e-Discovery</t>
    </r>
    <r>
      <rPr>
        <sz val="8"/>
        <rFont val="Arial"/>
        <family val="2"/>
      </rPr>
      <t xml:space="preserve">
The proposed SaaS solution shall provide e-Discovery capability to identify, collect and produce electronically stored information (ESI) in response to a request for production in a lawsuit or investigation as part of the cloud services offered.</t>
    </r>
  </si>
  <si>
    <r>
      <rPr>
        <b/>
        <sz val="8"/>
        <rFont val="Arial"/>
        <family val="2"/>
      </rPr>
      <t>Real-time data synchronization or data replication</t>
    </r>
    <r>
      <rPr>
        <sz val="8"/>
        <rFont val="Arial"/>
        <family val="2"/>
      </rPr>
      <t xml:space="preserve">
The Tenderer shall employ real-time data synchronization or data replication to a secondary or disaster recovery (DR) site, located in different region. </t>
    </r>
  </si>
  <si>
    <r>
      <rPr>
        <b/>
        <sz val="8"/>
        <rFont val="Arial"/>
        <family val="2"/>
      </rPr>
      <t>Data Masking</t>
    </r>
    <r>
      <rPr>
        <sz val="8"/>
        <rFont val="Arial"/>
        <family val="2"/>
      </rPr>
      <t xml:space="preserve">
Sensitive data such as PII shall be masked on the non-production environments lessen exposure.</t>
    </r>
  </si>
  <si>
    <r>
      <rPr>
        <b/>
        <sz val="8"/>
        <rFont val="Arial"/>
        <family val="2"/>
      </rPr>
      <t xml:space="preserve">Microsoft (MS) on-prem active directory (AD) and MS Entra Identity (ID) </t>
    </r>
    <r>
      <rPr>
        <sz val="8"/>
        <rFont val="Arial"/>
        <family val="2"/>
      </rPr>
      <t xml:space="preserve">
The proposed SaaS solution shall be able to integrate with MS AD, and Entra ID, MFA and support SAML, OAuth  and OpenID and SSO.</t>
    </r>
  </si>
  <si>
    <r>
      <rPr>
        <b/>
        <sz val="8"/>
        <rFont val="Arial"/>
        <family val="2"/>
      </rPr>
      <t>RBAC</t>
    </r>
    <r>
      <rPr>
        <sz val="8"/>
        <rFont val="Arial"/>
        <family val="2"/>
      </rPr>
      <t xml:space="preserve">
The proposed SaaS solution must support and employ RBAC mechanism.</t>
    </r>
  </si>
  <si>
    <r>
      <rPr>
        <b/>
        <sz val="8"/>
        <rFont val="Arial"/>
        <family val="2"/>
      </rPr>
      <t>Encryption Standard</t>
    </r>
    <r>
      <rPr>
        <sz val="8"/>
        <rFont val="Arial"/>
        <family val="2"/>
      </rPr>
      <t xml:space="preserve">
The proposed SaaS solution shall  encrypt data at rest using at minimum AES-256 and  in transit (or in motion) using at minimum TLS 1.2 or later version.</t>
    </r>
  </si>
  <si>
    <r>
      <rPr>
        <b/>
        <sz val="8"/>
        <rFont val="Arial"/>
        <family val="2"/>
      </rPr>
      <t>Audit Trails, Logs, User and Activity Logs</t>
    </r>
    <r>
      <rPr>
        <sz val="8"/>
        <rFont val="Arial"/>
        <family val="2"/>
      </rPr>
      <t xml:space="preserve">
The proposed SaaS solution shall have Audit trails, logs, user administration and user activity logs enabled, encrypted, and securely kept with limited access to administrators.</t>
    </r>
  </si>
  <si>
    <t>e-Discovery</t>
  </si>
  <si>
    <t>Security sheet - partial question</t>
  </si>
  <si>
    <t>S8</t>
  </si>
  <si>
    <r>
      <rPr>
        <b/>
        <sz val="8"/>
        <rFont val="Arial"/>
        <family val="2"/>
      </rPr>
      <t>SOC 1 and SOC 2 Type II</t>
    </r>
    <r>
      <rPr>
        <sz val="8"/>
        <rFont val="Arial"/>
        <family val="2"/>
      </rPr>
      <t xml:space="preserve">
The Tenderer shall have a valid SOC 1 Type II and SOC 2 Type II Reports for the proposed SaaS solution.
If the SOC 1 Type II and SOC 2 Type II report are older than six (6) months, the Bridge Letter must be submitted.
</t>
    </r>
  </si>
  <si>
    <t>Role Base Access Control Mechanism</t>
  </si>
  <si>
    <t>(100%) Fully Compliant- The tender does daily Incremental daily back-ups shall be done, encrypted, and securely kept offsite.</t>
  </si>
  <si>
    <t>(0%) No compliance - The Database is placed behind the firewall and Tenderer employs the database security management tool.</t>
  </si>
  <si>
    <t>(0%) No compliance - The proposed solution does not employ DDoS protection mechanism.</t>
  </si>
  <si>
    <t>(0%) No compliance - The proposed solution does not have WAF.</t>
  </si>
  <si>
    <t>(0%) No compliance - The proposed solution does not support ESB, API's and IPaaS for security, logging and monitoring.</t>
  </si>
  <si>
    <t>(0%) No compliance - The proposed solution does not DRP/IRM.</t>
  </si>
  <si>
    <t>(0%) No compliance - The proposed solution does not mask sensitive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</si>
</sst>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_ ;[Red]\-0\ "/>
  </numFmts>
  <fonts count="83" x14ac:knownFonts="1">
    <font>
      <sz val="11"/>
      <color theme="1"/>
      <name val="Calibri"/>
      <family val="2"/>
      <scheme val="minor"/>
    </font>
    <font>
      <sz val="11"/>
      <color theme="1"/>
      <name val="Calibri"/>
      <family val="2"/>
      <scheme val="minor"/>
    </font>
    <font>
      <sz val="11"/>
      <color indexed="8"/>
      <name val="Arial"/>
      <family val="2"/>
    </font>
    <font>
      <b/>
      <sz val="11"/>
      <color indexed="8"/>
      <name val="Arial"/>
      <family val="2"/>
    </font>
    <font>
      <sz val="12"/>
      <color indexed="8"/>
      <name val="Arial"/>
      <family val="2"/>
    </font>
    <font>
      <b/>
      <sz val="12"/>
      <color indexed="8"/>
      <name val="Arial"/>
      <family val="2"/>
    </font>
    <font>
      <b/>
      <u/>
      <sz val="11"/>
      <color rgb="FFC00000"/>
      <name val="Arial"/>
      <family val="2"/>
    </font>
    <font>
      <sz val="11"/>
      <color rgb="FF000000"/>
      <name val="Arial"/>
      <family val="2"/>
    </font>
    <font>
      <b/>
      <sz val="16"/>
      <color rgb="FFC00000"/>
      <name val="Arial"/>
      <family val="2"/>
    </font>
    <font>
      <b/>
      <sz val="12"/>
      <name val="Arial"/>
      <family val="2"/>
    </font>
    <font>
      <b/>
      <sz val="11"/>
      <color theme="1"/>
      <name val="Arial"/>
      <family val="2"/>
    </font>
    <font>
      <sz val="11"/>
      <color theme="1"/>
      <name val="Arial"/>
      <family val="2"/>
    </font>
    <font>
      <sz val="8"/>
      <color theme="1"/>
      <name val="Arial"/>
      <family val="2"/>
    </font>
    <font>
      <b/>
      <sz val="8"/>
      <color theme="1"/>
      <name val="Arial"/>
      <family val="2"/>
    </font>
    <font>
      <sz val="12"/>
      <color theme="1"/>
      <name val="Arial"/>
      <family val="2"/>
    </font>
    <font>
      <b/>
      <sz val="12"/>
      <color theme="1"/>
      <name val="Arial"/>
      <family val="2"/>
    </font>
    <font>
      <sz val="12"/>
      <name val="Arial"/>
      <family val="2"/>
    </font>
    <font>
      <i/>
      <sz val="8"/>
      <color theme="1"/>
      <name val="Arial"/>
      <family val="2"/>
    </font>
    <font>
      <b/>
      <sz val="8"/>
      <name val="Arial"/>
      <family val="2"/>
    </font>
    <font>
      <i/>
      <sz val="8"/>
      <name val="Arial"/>
      <family val="2"/>
    </font>
    <font>
      <b/>
      <sz val="9"/>
      <color theme="1"/>
      <name val="Arial"/>
      <family val="2"/>
    </font>
    <font>
      <b/>
      <u/>
      <sz val="12"/>
      <color theme="1"/>
      <name val="Arial"/>
      <family val="2"/>
    </font>
    <font>
      <sz val="8"/>
      <name val="Arial"/>
      <family val="2"/>
    </font>
    <font>
      <sz val="8"/>
      <color indexed="8"/>
      <name val="Arial"/>
      <family val="2"/>
    </font>
    <font>
      <sz val="8"/>
      <color rgb="FFFF0000"/>
      <name val="Arial"/>
      <family val="2"/>
    </font>
    <font>
      <i/>
      <sz val="8"/>
      <color rgb="FFFF0000"/>
      <name val="Arial"/>
      <family val="2"/>
    </font>
    <font>
      <b/>
      <i/>
      <sz val="8"/>
      <color rgb="FFFF0000"/>
      <name val="Arial"/>
      <family val="2"/>
    </font>
    <font>
      <b/>
      <sz val="7"/>
      <color theme="1"/>
      <name val="Arial"/>
      <family val="2"/>
    </font>
    <font>
      <u/>
      <sz val="8"/>
      <name val="Arial"/>
      <family val="2"/>
    </font>
    <font>
      <sz val="8"/>
      <color theme="5" tint="-0.499984740745262"/>
      <name val="Arial"/>
      <family val="2"/>
    </font>
    <font>
      <i/>
      <sz val="8"/>
      <color theme="5" tint="-0.499984740745262"/>
      <name val="Arial"/>
      <family val="2"/>
    </font>
    <font>
      <b/>
      <i/>
      <sz val="8"/>
      <color theme="5" tint="-0.499984740745262"/>
      <name val="Arial"/>
      <family val="2"/>
    </font>
    <font>
      <sz val="8"/>
      <color rgb="FF000000"/>
      <name val="Arial"/>
      <family val="2"/>
    </font>
    <font>
      <b/>
      <u/>
      <sz val="8"/>
      <name val="Arial"/>
      <family val="2"/>
    </font>
    <font>
      <sz val="8"/>
      <name val="Calibri"/>
      <family val="2"/>
      <scheme val="minor"/>
    </font>
    <font>
      <sz val="11"/>
      <color rgb="FF9C0006"/>
      <name val="Calibri"/>
      <family val="2"/>
      <scheme val="minor"/>
    </font>
    <font>
      <sz val="11"/>
      <color theme="0"/>
      <name val="Calibri"/>
      <family val="2"/>
      <scheme val="minor"/>
    </font>
    <font>
      <b/>
      <sz val="8"/>
      <color rgb="FF00B050"/>
      <name val="Arial"/>
      <family val="2"/>
    </font>
    <font>
      <b/>
      <strike/>
      <sz val="8"/>
      <name val="Arial"/>
      <family val="2"/>
    </font>
    <font>
      <strike/>
      <sz val="8"/>
      <name val="Arial"/>
      <family val="2"/>
    </font>
    <font>
      <sz val="8"/>
      <color theme="4"/>
      <name val="Arial"/>
      <family val="2"/>
    </font>
    <font>
      <b/>
      <sz val="8"/>
      <color theme="4"/>
      <name val="Arial"/>
      <family val="2"/>
    </font>
    <font>
      <sz val="8"/>
      <color rgb="FF0070C0"/>
      <name val="Arial"/>
      <family val="2"/>
    </font>
    <font>
      <b/>
      <sz val="8"/>
      <color rgb="FF0070C0"/>
      <name val="Arial"/>
      <family val="2"/>
    </font>
    <font>
      <sz val="9"/>
      <color theme="0"/>
      <name val="Calibri"/>
      <family val="2"/>
      <scheme val="minor"/>
    </font>
    <font>
      <sz val="8"/>
      <color theme="1"/>
      <name val="Arial"/>
      <family val="2"/>
    </font>
    <font>
      <b/>
      <sz val="8"/>
      <color theme="1"/>
      <name val="Arial"/>
      <family val="2"/>
    </font>
    <font>
      <sz val="8"/>
      <color theme="0"/>
      <name val="Arial"/>
      <family val="2"/>
    </font>
    <font>
      <sz val="8"/>
      <color theme="0" tint="-0.249977111117893"/>
      <name val="Arial"/>
      <family val="2"/>
    </font>
    <font>
      <sz val="11"/>
      <color rgb="FF006100"/>
      <name val="Calibri"/>
      <family val="2"/>
      <scheme val="minor"/>
    </font>
    <font>
      <sz val="10"/>
      <color rgb="FF006100"/>
      <name val="Calibri"/>
      <family val="2"/>
      <scheme val="minor"/>
    </font>
    <font>
      <sz val="8"/>
      <color rgb="FF7030A0"/>
      <name val="Arial"/>
      <family val="2"/>
    </font>
    <font>
      <i/>
      <sz val="8"/>
      <color rgb="FF7030A0"/>
      <name val="Arial"/>
      <family val="2"/>
    </font>
    <font>
      <sz val="8"/>
      <color rgb="FF00B050"/>
      <name val="Arial"/>
      <family val="2"/>
    </font>
    <font>
      <sz val="8"/>
      <color rgb="FF003896"/>
      <name val="Arial"/>
      <family val="2"/>
    </font>
    <font>
      <b/>
      <sz val="8"/>
      <color rgb="FF003896"/>
      <name val="Arial"/>
      <family val="2"/>
    </font>
    <font>
      <b/>
      <sz val="8"/>
      <color rgb="FF7030A0"/>
      <name val="Arial"/>
      <family val="2"/>
    </font>
    <font>
      <sz val="7"/>
      <color theme="1"/>
      <name val="Arial"/>
      <family val="2"/>
    </font>
    <font>
      <sz val="8"/>
      <color rgb="FF006100"/>
      <name val="Calibri"/>
      <family val="2"/>
      <scheme val="minor"/>
    </font>
    <font>
      <sz val="8"/>
      <color rgb="FF006100"/>
      <name val="Arial"/>
      <family val="2"/>
    </font>
    <font>
      <sz val="9"/>
      <color theme="1"/>
      <name val="Segoe UI"/>
      <family val="2"/>
    </font>
    <font>
      <u/>
      <sz val="8"/>
      <color rgb="FF000000"/>
      <name val="Arial"/>
      <family val="2"/>
    </font>
    <font>
      <b/>
      <i/>
      <sz val="11"/>
      <color theme="1"/>
      <name val="Arial"/>
      <family val="2"/>
    </font>
    <font>
      <i/>
      <sz val="11"/>
      <color theme="1"/>
      <name val="Arial"/>
      <family val="2"/>
    </font>
    <font>
      <u/>
      <sz val="11"/>
      <color theme="1"/>
      <name val="Arial"/>
      <family val="2"/>
    </font>
    <font>
      <u/>
      <sz val="11"/>
      <color theme="10"/>
      <name val="Calibri"/>
      <family val="2"/>
      <scheme val="minor"/>
    </font>
    <font>
      <sz val="9"/>
      <color rgb="FF000000"/>
      <name val="Arial"/>
      <family val="2"/>
    </font>
    <font>
      <sz val="9"/>
      <color theme="1"/>
      <name val="Arial"/>
      <family val="2"/>
    </font>
    <font>
      <sz val="9"/>
      <color rgb="FF696565"/>
      <name val="Arial"/>
      <family val="2"/>
    </font>
    <font>
      <b/>
      <sz val="8"/>
      <color rgb="FF000000"/>
      <name val="Arial"/>
      <family val="2"/>
    </font>
    <font>
      <sz val="9"/>
      <color rgb="FF404040"/>
      <name val="Arial"/>
      <family val="2"/>
    </font>
    <font>
      <b/>
      <sz val="9"/>
      <color rgb="FF954A9C"/>
      <name val="Arial"/>
      <family val="2"/>
    </font>
    <font>
      <u/>
      <sz val="9"/>
      <color theme="10"/>
      <name val="Arial"/>
      <family val="2"/>
    </font>
    <font>
      <sz val="8"/>
      <color theme="1"/>
      <name val="Arial"/>
      <family val="2"/>
    </font>
    <font>
      <b/>
      <sz val="8"/>
      <color theme="1"/>
      <name val="Arial"/>
      <family val="2"/>
    </font>
    <font>
      <sz val="8"/>
      <color rgb="FF002060"/>
      <name val="Arial"/>
      <family val="2"/>
    </font>
    <font>
      <sz val="8"/>
      <color rgb="FF9C0006"/>
      <name val="Arial"/>
      <family val="2"/>
    </font>
    <font>
      <sz val="8"/>
      <color rgb="FF000000"/>
      <name val="Arial"/>
      <family val="2"/>
    </font>
    <font>
      <b/>
      <sz val="10"/>
      <color theme="1"/>
      <name val="Arial"/>
      <family val="2"/>
    </font>
    <font>
      <b/>
      <u/>
      <sz val="10"/>
      <color theme="1"/>
      <name val="Arial"/>
      <family val="2"/>
    </font>
    <font>
      <i/>
      <sz val="10"/>
      <color theme="1"/>
      <name val="Arial"/>
      <family val="2"/>
    </font>
    <font>
      <sz val="10"/>
      <color theme="1"/>
      <name val="Arial"/>
      <family val="2"/>
    </font>
    <font>
      <sz val="10"/>
      <name val="Arial"/>
      <family val="2"/>
    </font>
  </fonts>
  <fills count="30">
    <fill>
      <patternFill patternType="none"/>
    </fill>
    <fill>
      <patternFill patternType="gray125"/>
    </fill>
    <fill>
      <patternFill patternType="solid">
        <fgColor rgb="FF99FF99"/>
        <bgColor indexed="64"/>
      </patternFill>
    </fill>
    <fill>
      <patternFill patternType="solid">
        <fgColor rgb="FFC97A00"/>
        <bgColor indexed="64"/>
      </patternFill>
    </fill>
    <fill>
      <patternFill patternType="solid">
        <fgColor rgb="FF22A2A8"/>
        <bgColor indexed="64"/>
      </patternFill>
    </fill>
    <fill>
      <patternFill patternType="solid">
        <fgColor rgb="FF0DB02B"/>
        <bgColor indexed="64"/>
      </patternFill>
    </fill>
    <fill>
      <patternFill patternType="solid">
        <fgColor rgb="FF003896"/>
        <bgColor indexed="64"/>
      </patternFill>
    </fill>
    <fill>
      <patternFill patternType="solid">
        <fgColor rgb="FF598787"/>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rgb="FF96330F"/>
        <bgColor indexed="64"/>
      </patternFill>
    </fill>
    <fill>
      <patternFill patternType="solid">
        <fgColor rgb="FFFFC7CE"/>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rgb="FFC6EFCE"/>
      </patternFill>
    </fill>
    <fill>
      <patternFill patternType="solid">
        <fgColor theme="7" tint="0.59999389629810485"/>
        <bgColor indexed="64"/>
      </patternFill>
    </fill>
    <fill>
      <patternFill patternType="solid">
        <fgColor rgb="FFFFFFFF"/>
        <bgColor indexed="64"/>
      </patternFill>
    </fill>
    <fill>
      <patternFill patternType="solid">
        <fgColor rgb="FFE0E0E0"/>
        <bgColor indexed="64"/>
      </patternFill>
    </fill>
    <fill>
      <patternFill patternType="solid">
        <fgColor theme="8" tint="0.79998168889431442"/>
        <bgColor indexed="65"/>
      </patternFill>
    </fill>
    <fill>
      <patternFill patternType="solid">
        <fgColor rgb="FFFFC000"/>
        <bgColor indexed="64"/>
      </patternFill>
    </fill>
    <fill>
      <patternFill patternType="solid">
        <fgColor theme="7"/>
        <bgColor indexed="64"/>
      </patternFill>
    </fill>
    <fill>
      <patternFill patternType="solid">
        <fgColor rgb="FFC00000"/>
        <bgColor indexed="64"/>
      </patternFill>
    </fill>
    <fill>
      <patternFill patternType="solid">
        <fgColor rgb="FFD9E1F2"/>
        <bgColor rgb="FF000000"/>
      </patternFill>
    </fill>
  </fills>
  <borders count="97">
    <border>
      <left/>
      <right/>
      <top/>
      <bottom/>
      <diagonal/>
    </border>
    <border>
      <left style="medium">
        <color indexed="64"/>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top/>
      <bottom style="medium">
        <color indexed="64"/>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thin">
        <color theme="1"/>
      </left>
      <right style="thin">
        <color theme="1"/>
      </right>
      <top style="thin">
        <color theme="1"/>
      </top>
      <bottom style="thin">
        <color theme="1"/>
      </bottom>
      <diagonal/>
    </border>
    <border>
      <left style="medium">
        <color theme="1"/>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style="thin">
        <color theme="1"/>
      </right>
      <top style="thin">
        <color theme="1"/>
      </top>
      <bottom style="medium">
        <color theme="1"/>
      </bottom>
      <diagonal/>
    </border>
    <border>
      <left style="thin">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theme="1"/>
      </left>
      <right/>
      <top style="medium">
        <color theme="1"/>
      </top>
      <bottom style="thin">
        <color theme="1"/>
      </bottom>
      <diagonal/>
    </border>
    <border>
      <left style="thin">
        <color theme="1"/>
      </left>
      <right/>
      <top style="thin">
        <color theme="1"/>
      </top>
      <bottom style="thin">
        <color theme="1"/>
      </bottom>
      <diagonal/>
    </border>
    <border>
      <left style="thin">
        <color theme="1"/>
      </left>
      <right/>
      <top style="thin">
        <color theme="1"/>
      </top>
      <bottom style="medium">
        <color theme="1"/>
      </bottom>
      <diagonal/>
    </border>
    <border>
      <left/>
      <right style="thin">
        <color theme="1"/>
      </right>
      <top style="medium">
        <color theme="1"/>
      </top>
      <bottom style="thin">
        <color theme="1"/>
      </bottom>
      <diagonal/>
    </border>
    <border>
      <left/>
      <right style="thin">
        <color theme="1"/>
      </right>
      <top style="thin">
        <color theme="1"/>
      </top>
      <bottom style="thin">
        <color theme="1"/>
      </bottom>
      <diagonal/>
    </border>
    <border>
      <left/>
      <right style="thin">
        <color theme="1"/>
      </right>
      <top style="thin">
        <color theme="1"/>
      </top>
      <bottom style="medium">
        <color theme="1"/>
      </bottom>
      <diagonal/>
    </border>
    <border>
      <left style="medium">
        <color theme="1"/>
      </left>
      <right style="thin">
        <color theme="1"/>
      </right>
      <top style="thin">
        <color theme="1"/>
      </top>
      <bottom/>
      <diagonal/>
    </border>
    <border>
      <left style="medium">
        <color theme="1"/>
      </left>
      <right style="thin">
        <color theme="1"/>
      </right>
      <top/>
      <bottom/>
      <diagonal/>
    </border>
    <border>
      <left style="medium">
        <color theme="1"/>
      </left>
      <right style="thin">
        <color theme="1"/>
      </right>
      <top/>
      <bottom style="thin">
        <color theme="1"/>
      </bottom>
      <diagonal/>
    </border>
    <border>
      <left style="thin">
        <color theme="1"/>
      </left>
      <right style="thin">
        <color theme="1"/>
      </right>
      <top style="thin">
        <color theme="1"/>
      </top>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theme="1"/>
      </left>
      <right style="medium">
        <color theme="1"/>
      </right>
      <top style="thin">
        <color theme="1"/>
      </top>
      <bottom/>
      <diagonal/>
    </border>
    <border>
      <left style="thin">
        <color theme="1"/>
      </left>
      <right style="medium">
        <color theme="1"/>
      </right>
      <top/>
      <bottom/>
      <diagonal/>
    </border>
    <border>
      <left style="thin">
        <color theme="1"/>
      </left>
      <right style="medium">
        <color theme="1"/>
      </right>
      <top/>
      <bottom style="thin">
        <color theme="1"/>
      </bottom>
      <diagonal/>
    </border>
    <border>
      <left/>
      <right style="medium">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theme="1"/>
      </left>
      <right/>
      <top/>
      <bottom style="thin">
        <color theme="1"/>
      </bottom>
      <diagonal/>
    </border>
    <border>
      <left/>
      <right style="thin">
        <color theme="1"/>
      </right>
      <top/>
      <bottom style="thin">
        <color theme="1"/>
      </bottom>
      <diagonal/>
    </border>
    <border>
      <left/>
      <right style="medium">
        <color rgb="FF000000"/>
      </right>
      <top style="medium">
        <color indexed="64"/>
      </top>
      <bottom style="medium">
        <color indexed="64"/>
      </bottom>
      <diagonal/>
    </border>
  </borders>
  <cellStyleXfs count="7">
    <xf numFmtId="0" fontId="0" fillId="0" borderId="0"/>
    <xf numFmtId="9" fontId="1" fillId="0" borderId="0" applyFont="0" applyFill="0" applyBorder="0" applyAlignment="0" applyProtection="0"/>
    <xf numFmtId="0" fontId="35" fillId="17" borderId="0" applyNumberFormat="0" applyBorder="0" applyAlignment="0" applyProtection="0"/>
    <xf numFmtId="0" fontId="49" fillId="21" borderId="0" applyNumberFormat="0" applyBorder="0" applyAlignment="0" applyProtection="0"/>
    <xf numFmtId="0" fontId="65" fillId="0" borderId="0" applyNumberFormat="0" applyFill="0" applyBorder="0" applyAlignment="0" applyProtection="0"/>
    <xf numFmtId="0" fontId="1" fillId="25" borderId="0" applyNumberFormat="0" applyBorder="0" applyAlignment="0" applyProtection="0"/>
    <xf numFmtId="0" fontId="82" fillId="0" borderId="0"/>
  </cellStyleXfs>
  <cellXfs count="802">
    <xf numFmtId="0" fontId="0" fillId="0" borderId="0" xfId="0"/>
    <xf numFmtId="0" fontId="2" fillId="0" borderId="0" xfId="0" applyFont="1" applyAlignment="1" applyProtection="1">
      <alignment horizontal="left" vertical="top"/>
      <protection locked="0"/>
    </xf>
    <xf numFmtId="0" fontId="2" fillId="0" borderId="0" xfId="0" applyFont="1" applyAlignment="1" applyProtection="1">
      <alignment horizontal="left" vertical="top" wrapText="1"/>
      <protection locked="0"/>
    </xf>
    <xf numFmtId="2" fontId="2" fillId="0" borderId="0" xfId="0" applyNumberFormat="1" applyFont="1" applyAlignment="1" applyProtection="1">
      <alignment horizontal="left" vertical="top"/>
      <protection locked="0"/>
    </xf>
    <xf numFmtId="0" fontId="3" fillId="0" borderId="0" xfId="0" applyFont="1" applyAlignment="1" applyProtection="1">
      <alignment horizontal="left" vertical="top"/>
      <protection locked="0"/>
    </xf>
    <xf numFmtId="0" fontId="3" fillId="0" borderId="0" xfId="0" applyFont="1" applyAlignment="1" applyProtection="1">
      <alignment horizontal="left" vertical="top" wrapText="1"/>
      <protection locked="0"/>
    </xf>
    <xf numFmtId="9" fontId="2" fillId="0" borderId="0" xfId="0" applyNumberFormat="1" applyFont="1" applyAlignment="1" applyProtection="1">
      <alignment horizontal="left" vertical="top"/>
      <protection locked="0"/>
    </xf>
    <xf numFmtId="0" fontId="2" fillId="0" borderId="0" xfId="0" applyFont="1" applyAlignment="1">
      <alignment horizontal="left" vertical="top"/>
    </xf>
    <xf numFmtId="0" fontId="4" fillId="0" borderId="0" xfId="0" applyFont="1" applyAlignment="1">
      <alignment horizontal="left" vertical="center"/>
    </xf>
    <xf numFmtId="0" fontId="4" fillId="0" borderId="0" xfId="0" applyFont="1" applyAlignment="1" applyProtection="1">
      <alignment horizontal="left" vertical="center"/>
      <protection locked="0"/>
    </xf>
    <xf numFmtId="0" fontId="10" fillId="0" borderId="3" xfId="0" applyFont="1" applyBorder="1" applyAlignment="1">
      <alignment horizontal="left" wrapText="1"/>
    </xf>
    <xf numFmtId="0" fontId="11" fillId="0" borderId="3" xfId="0" applyFont="1" applyBorder="1" applyAlignment="1">
      <alignment horizontal="right" vertical="top" wrapText="1"/>
    </xf>
    <xf numFmtId="0" fontId="10" fillId="8" borderId="3" xfId="0" applyFont="1" applyFill="1" applyBorder="1" applyAlignment="1">
      <alignment horizontal="left" wrapText="1"/>
    </xf>
    <xf numFmtId="0" fontId="12" fillId="0" borderId="0" xfId="0" applyFont="1"/>
    <xf numFmtId="0" fontId="13" fillId="0" borderId="0" xfId="0" applyFont="1"/>
    <xf numFmtId="1" fontId="12" fillId="0" borderId="0" xfId="0" applyNumberFormat="1" applyFont="1" applyAlignment="1">
      <alignment vertical="center"/>
    </xf>
    <xf numFmtId="0" fontId="12" fillId="0" borderId="0" xfId="0" applyFont="1" applyAlignment="1">
      <alignment vertical="center"/>
    </xf>
    <xf numFmtId="164" fontId="12" fillId="0" borderId="0" xfId="0" applyNumberFormat="1" applyFont="1"/>
    <xf numFmtId="0" fontId="12" fillId="0" borderId="0" xfId="0" applyFont="1" applyAlignment="1">
      <alignment wrapText="1"/>
    </xf>
    <xf numFmtId="0" fontId="13" fillId="0" borderId="0" xfId="0" applyFont="1" applyAlignment="1">
      <alignment horizontal="center" vertical="center"/>
    </xf>
    <xf numFmtId="0" fontId="12" fillId="0" borderId="7" xfId="0" applyFont="1" applyBorder="1" applyAlignment="1">
      <alignment wrapText="1"/>
    </xf>
    <xf numFmtId="0" fontId="12" fillId="0" borderId="1" xfId="0" applyFont="1" applyBorder="1" applyAlignment="1">
      <alignment wrapText="1"/>
    </xf>
    <xf numFmtId="0" fontId="15" fillId="9" borderId="10" xfId="0" applyFont="1" applyFill="1" applyBorder="1" applyAlignment="1">
      <alignment horizontal="left" vertical="center" wrapText="1"/>
    </xf>
    <xf numFmtId="9" fontId="9" fillId="10" borderId="11" xfId="1" applyFont="1" applyFill="1" applyBorder="1" applyAlignment="1">
      <alignment vertical="center"/>
    </xf>
    <xf numFmtId="0" fontId="14" fillId="9" borderId="12" xfId="0" applyFont="1" applyFill="1" applyBorder="1" applyAlignment="1">
      <alignment horizontal="left" vertical="center" wrapText="1"/>
    </xf>
    <xf numFmtId="9" fontId="9" fillId="10" borderId="13" xfId="1" applyFont="1" applyFill="1" applyBorder="1" applyAlignment="1">
      <alignment vertical="center"/>
    </xf>
    <xf numFmtId="0" fontId="4" fillId="9" borderId="15" xfId="0" applyFont="1" applyFill="1" applyBorder="1" applyAlignment="1">
      <alignment vertical="center" wrapText="1"/>
    </xf>
    <xf numFmtId="0" fontId="5" fillId="10" borderId="16" xfId="0" applyFont="1" applyFill="1" applyBorder="1" applyAlignment="1">
      <alignment horizontal="center" vertical="center"/>
    </xf>
    <xf numFmtId="0" fontId="5" fillId="10" borderId="17" xfId="0" applyFont="1" applyFill="1" applyBorder="1" applyAlignment="1">
      <alignment horizontal="center" vertical="center"/>
    </xf>
    <xf numFmtId="0" fontId="5" fillId="10" borderId="18" xfId="0" applyFont="1" applyFill="1" applyBorder="1" applyAlignment="1">
      <alignment horizontal="center" vertical="center"/>
    </xf>
    <xf numFmtId="0" fontId="17" fillId="0" borderId="0" xfId="0" applyFont="1"/>
    <xf numFmtId="0" fontId="18" fillId="0" borderId="8" xfId="0" applyFont="1" applyBorder="1"/>
    <xf numFmtId="49" fontId="18" fillId="0" borderId="8" xfId="0" applyNumberFormat="1" applyFont="1" applyBorder="1" applyAlignment="1">
      <alignment horizontal="left" vertical="center" wrapText="1"/>
    </xf>
    <xf numFmtId="49" fontId="18" fillId="0" borderId="9" xfId="0" applyNumberFormat="1" applyFont="1" applyBorder="1" applyAlignment="1">
      <alignment horizontal="left" vertical="center" wrapText="1"/>
    </xf>
    <xf numFmtId="49" fontId="18" fillId="0" borderId="20" xfId="0" applyNumberFormat="1" applyFont="1" applyBorder="1" applyAlignment="1">
      <alignment horizontal="left" vertical="center" wrapText="1"/>
    </xf>
    <xf numFmtId="0" fontId="18" fillId="0" borderId="13" xfId="0" applyFont="1" applyBorder="1"/>
    <xf numFmtId="164" fontId="18" fillId="0" borderId="21" xfId="0" applyNumberFormat="1" applyFont="1" applyBorder="1"/>
    <xf numFmtId="49" fontId="18" fillId="0" borderId="11" xfId="0" applyNumberFormat="1" applyFont="1" applyBorder="1" applyAlignment="1">
      <alignment horizontal="left" vertical="center" wrapText="1"/>
    </xf>
    <xf numFmtId="49" fontId="18" fillId="0" borderId="3" xfId="0" applyNumberFormat="1" applyFont="1" applyBorder="1" applyAlignment="1">
      <alignment horizontal="left" vertical="center" wrapText="1"/>
    </xf>
    <xf numFmtId="49" fontId="18" fillId="0" borderId="24" xfId="0" applyNumberFormat="1" applyFont="1" applyBorder="1" applyAlignment="1">
      <alignment horizontal="left" vertical="center" wrapText="1"/>
    </xf>
    <xf numFmtId="0" fontId="20" fillId="11" borderId="26" xfId="0" applyFont="1" applyFill="1" applyBorder="1" applyAlignment="1">
      <alignment vertical="center"/>
    </xf>
    <xf numFmtId="164" fontId="20" fillId="11" borderId="27" xfId="0" applyNumberFormat="1" applyFont="1" applyFill="1" applyBorder="1" applyAlignment="1">
      <alignment vertical="center" wrapText="1"/>
    </xf>
    <xf numFmtId="0" fontId="13" fillId="12" borderId="26" xfId="0" applyFont="1" applyFill="1" applyBorder="1" applyAlignment="1">
      <alignment vertical="center" wrapText="1"/>
    </xf>
    <xf numFmtId="0" fontId="13" fillId="12" borderId="28" xfId="0" applyFont="1" applyFill="1" applyBorder="1" applyAlignment="1">
      <alignment vertical="center" wrapText="1"/>
    </xf>
    <xf numFmtId="0" fontId="13" fillId="12" borderId="19" xfId="0" applyFont="1" applyFill="1" applyBorder="1" applyAlignment="1">
      <alignment vertical="center" wrapText="1"/>
    </xf>
    <xf numFmtId="0" fontId="13" fillId="13" borderId="29" xfId="0" applyFont="1" applyFill="1" applyBorder="1" applyAlignment="1">
      <alignment vertical="center" wrapText="1"/>
    </xf>
    <xf numFmtId="0" fontId="21" fillId="0" borderId="0" xfId="0" applyFont="1" applyAlignment="1">
      <alignment horizontal="center" wrapText="1"/>
    </xf>
    <xf numFmtId="0" fontId="10" fillId="0" borderId="3" xfId="0" applyFont="1" applyBorder="1" applyAlignment="1" applyProtection="1">
      <alignment horizontal="left" wrapText="1"/>
      <protection locked="0"/>
    </xf>
    <xf numFmtId="0" fontId="10" fillId="8" borderId="3" xfId="0" applyFont="1" applyFill="1" applyBorder="1" applyAlignment="1" applyProtection="1">
      <alignment horizontal="left" wrapText="1"/>
      <protection locked="0"/>
    </xf>
    <xf numFmtId="0" fontId="12" fillId="0" borderId="0" xfId="0" applyFont="1" applyAlignment="1">
      <alignment horizontal="center" vertical="center"/>
    </xf>
    <xf numFmtId="9" fontId="18" fillId="8" borderId="30" xfId="0" applyNumberFormat="1" applyFont="1" applyFill="1" applyBorder="1" applyAlignment="1">
      <alignment vertical="center"/>
    </xf>
    <xf numFmtId="164" fontId="22" fillId="0" borderId="3" xfId="0" applyNumberFormat="1" applyFont="1" applyBorder="1" applyAlignment="1">
      <alignment horizontal="center" vertical="center"/>
    </xf>
    <xf numFmtId="0" fontId="22" fillId="0" borderId="3" xfId="0" applyFont="1" applyBorder="1" applyAlignment="1">
      <alignment horizontal="left" vertical="top" wrapText="1"/>
    </xf>
    <xf numFmtId="164" fontId="22" fillId="0" borderId="34" xfId="0" applyNumberFormat="1" applyFont="1" applyBorder="1" applyAlignment="1">
      <alignment horizontal="center" vertical="center"/>
    </xf>
    <xf numFmtId="0" fontId="22" fillId="0" borderId="34" xfId="0" applyFont="1" applyBorder="1" applyAlignment="1">
      <alignment horizontal="left" vertical="top" wrapText="1"/>
    </xf>
    <xf numFmtId="164" fontId="22" fillId="0" borderId="14" xfId="0" applyNumberFormat="1" applyFont="1" applyBorder="1" applyAlignment="1">
      <alignment horizontal="center" vertical="center"/>
    </xf>
    <xf numFmtId="0" fontId="22" fillId="0" borderId="14" xfId="0" applyFont="1" applyBorder="1" applyAlignment="1">
      <alignment horizontal="left" vertical="top" wrapText="1"/>
    </xf>
    <xf numFmtId="16" fontId="22" fillId="0" borderId="34" xfId="0" applyNumberFormat="1" applyFont="1" applyBorder="1" applyAlignment="1">
      <alignment horizontal="left" vertical="top" wrapText="1"/>
    </xf>
    <xf numFmtId="0" fontId="24" fillId="0" borderId="0" xfId="0" applyFont="1" applyAlignment="1">
      <alignment horizontal="center" vertical="center"/>
    </xf>
    <xf numFmtId="0" fontId="13" fillId="8" borderId="8" xfId="0" applyFont="1" applyFill="1" applyBorder="1" applyAlignment="1">
      <alignment vertical="center"/>
    </xf>
    <xf numFmtId="49" fontId="27" fillId="8" borderId="9" xfId="0" applyNumberFormat="1" applyFont="1" applyFill="1" applyBorder="1" applyAlignment="1">
      <alignment vertical="center" textRotation="90" wrapText="1"/>
    </xf>
    <xf numFmtId="1" fontId="27" fillId="8" borderId="9" xfId="0" applyNumberFormat="1" applyFont="1" applyFill="1" applyBorder="1" applyAlignment="1">
      <alignment vertical="center" textRotation="90" wrapText="1"/>
    </xf>
    <xf numFmtId="49" fontId="13" fillId="8" borderId="9" xfId="0" applyNumberFormat="1" applyFont="1" applyFill="1" applyBorder="1" applyAlignment="1">
      <alignment horizontal="center" vertical="center" wrapText="1"/>
    </xf>
    <xf numFmtId="164" fontId="27" fillId="8" borderId="9" xfId="0" applyNumberFormat="1" applyFont="1" applyFill="1" applyBorder="1" applyAlignment="1">
      <alignment horizontal="center" vertical="center" textRotation="90" wrapText="1"/>
    </xf>
    <xf numFmtId="0" fontId="13" fillId="8" borderId="9" xfId="0" applyFont="1" applyFill="1" applyBorder="1" applyAlignment="1">
      <alignment vertical="center" wrapText="1"/>
    </xf>
    <xf numFmtId="0" fontId="13" fillId="8" borderId="20" xfId="0" applyFont="1" applyFill="1" applyBorder="1" applyAlignment="1">
      <alignment vertical="center" wrapText="1"/>
    </xf>
    <xf numFmtId="0" fontId="13" fillId="14" borderId="8" xfId="0" applyFont="1" applyFill="1" applyBorder="1" applyAlignment="1">
      <alignment vertical="center" wrapText="1"/>
    </xf>
    <xf numFmtId="0" fontId="13" fillId="14" borderId="40" xfId="0" applyFont="1" applyFill="1" applyBorder="1" applyAlignment="1">
      <alignment vertical="center" wrapText="1"/>
    </xf>
    <xf numFmtId="0" fontId="13" fillId="14" borderId="41" xfId="0" applyFont="1" applyFill="1" applyBorder="1" applyAlignment="1">
      <alignment vertical="center" wrapText="1"/>
    </xf>
    <xf numFmtId="0" fontId="13" fillId="15" borderId="35" xfId="0" applyFont="1" applyFill="1" applyBorder="1" applyAlignment="1">
      <alignment vertical="center" wrapText="1"/>
    </xf>
    <xf numFmtId="49" fontId="13" fillId="15" borderId="9" xfId="0" applyNumberFormat="1" applyFont="1" applyFill="1" applyBorder="1" applyAlignment="1">
      <alignment horizontal="left" vertical="center" wrapText="1"/>
    </xf>
    <xf numFmtId="0" fontId="13" fillId="11" borderId="42" xfId="0" applyFont="1" applyFill="1" applyBorder="1" applyAlignment="1">
      <alignment vertical="center"/>
    </xf>
    <xf numFmtId="0" fontId="13" fillId="11" borderId="43" xfId="0" applyFont="1" applyFill="1" applyBorder="1" applyAlignment="1">
      <alignment vertical="center"/>
    </xf>
    <xf numFmtId="0" fontId="13" fillId="11" borderId="44" xfId="0" applyFont="1" applyFill="1" applyBorder="1" applyAlignment="1">
      <alignment vertical="center"/>
    </xf>
    <xf numFmtId="0" fontId="13" fillId="11" borderId="43" xfId="0" applyFont="1" applyFill="1" applyBorder="1" applyAlignment="1">
      <alignment horizontal="center" vertical="center"/>
    </xf>
    <xf numFmtId="0" fontId="21" fillId="0" borderId="0" xfId="0" applyFont="1" applyAlignment="1">
      <alignment vertical="top" wrapText="1"/>
    </xf>
    <xf numFmtId="0" fontId="13" fillId="0" borderId="0" xfId="0" applyFont="1" applyAlignment="1">
      <alignment wrapText="1"/>
    </xf>
    <xf numFmtId="0" fontId="12" fillId="0" borderId="1" xfId="0" applyFont="1" applyBorder="1" applyAlignment="1">
      <alignment horizontal="center" vertical="center"/>
    </xf>
    <xf numFmtId="164" fontId="18" fillId="0" borderId="32" xfId="0" applyNumberFormat="1" applyFont="1" applyBorder="1"/>
    <xf numFmtId="164" fontId="12" fillId="0" borderId="4" xfId="0" applyNumberFormat="1" applyFont="1" applyBorder="1"/>
    <xf numFmtId="0" fontId="13" fillId="8" borderId="36" xfId="0" applyFont="1" applyFill="1" applyBorder="1" applyAlignment="1">
      <alignment vertical="center" wrapText="1"/>
    </xf>
    <xf numFmtId="9" fontId="22" fillId="0" borderId="30" xfId="1" applyFont="1" applyFill="1" applyBorder="1" applyAlignment="1">
      <alignment vertical="center"/>
    </xf>
    <xf numFmtId="0" fontId="18" fillId="8" borderId="19" xfId="0" applyFont="1" applyFill="1" applyBorder="1" applyAlignment="1">
      <alignment horizontal="center" vertical="center" wrapText="1"/>
    </xf>
    <xf numFmtId="0" fontId="21" fillId="0" borderId="0" xfId="0" applyFont="1" applyAlignment="1">
      <alignment horizontal="right" vertical="top" wrapText="1"/>
    </xf>
    <xf numFmtId="164" fontId="18" fillId="8" borderId="30" xfId="0" applyNumberFormat="1" applyFont="1" applyFill="1" applyBorder="1" applyAlignment="1">
      <alignment horizontal="center" vertical="center"/>
    </xf>
    <xf numFmtId="0" fontId="3" fillId="0" borderId="0" xfId="0" applyFont="1" applyAlignment="1">
      <alignment horizontal="left" vertical="top" wrapText="1"/>
    </xf>
    <xf numFmtId="0" fontId="2" fillId="0" borderId="0" xfId="0" applyFont="1" applyAlignment="1">
      <alignment horizontal="left" vertical="top" wrapText="1"/>
    </xf>
    <xf numFmtId="9" fontId="2" fillId="0" borderId="0" xfId="0" applyNumberFormat="1" applyFont="1" applyAlignment="1">
      <alignment horizontal="left" vertical="top" wrapText="1"/>
    </xf>
    <xf numFmtId="0" fontId="2" fillId="0" borderId="1" xfId="0" applyFont="1" applyBorder="1" applyAlignment="1" applyProtection="1">
      <alignment horizontal="left" vertical="top"/>
      <protection locked="0"/>
    </xf>
    <xf numFmtId="0" fontId="4" fillId="0" borderId="1" xfId="0" applyFont="1" applyBorder="1" applyAlignment="1" applyProtection="1">
      <alignment horizontal="left" vertical="center"/>
      <protection locked="0"/>
    </xf>
    <xf numFmtId="0" fontId="2" fillId="0" borderId="0" xfId="0" quotePrefix="1" applyFont="1" applyAlignment="1" applyProtection="1">
      <alignment horizontal="right" vertical="top"/>
      <protection locked="0"/>
    </xf>
    <xf numFmtId="0" fontId="3" fillId="7" borderId="3" xfId="0" applyFont="1" applyFill="1" applyBorder="1" applyAlignment="1" applyProtection="1">
      <alignment horizontal="left" vertical="top" wrapText="1"/>
      <protection locked="0"/>
    </xf>
    <xf numFmtId="0" fontId="2" fillId="6" borderId="3" xfId="0" applyFont="1" applyFill="1" applyBorder="1" applyAlignment="1" applyProtection="1">
      <alignment horizontal="left" vertical="top" wrapText="1"/>
      <protection locked="0"/>
    </xf>
    <xf numFmtId="0" fontId="2" fillId="5" borderId="3" xfId="0" applyFont="1" applyFill="1" applyBorder="1" applyAlignment="1" applyProtection="1">
      <alignment horizontal="left" vertical="top" wrapText="1"/>
      <protection locked="0"/>
    </xf>
    <xf numFmtId="0" fontId="2" fillId="4" borderId="3" xfId="0" applyFont="1" applyFill="1" applyBorder="1" applyAlignment="1" applyProtection="1">
      <alignment horizontal="left" vertical="top" wrapText="1"/>
      <protection locked="0"/>
    </xf>
    <xf numFmtId="0" fontId="2" fillId="3" borderId="3" xfId="0" applyFont="1" applyFill="1" applyBorder="1" applyAlignment="1" applyProtection="1">
      <alignment horizontal="left" vertical="top" wrapText="1"/>
      <protection locked="0"/>
    </xf>
    <xf numFmtId="0" fontId="2" fillId="0" borderId="0" xfId="0" applyFont="1" applyAlignment="1" applyProtection="1">
      <alignment vertical="top" wrapText="1"/>
      <protection locked="0"/>
    </xf>
    <xf numFmtId="0" fontId="2" fillId="0" borderId="0" xfId="0" quotePrefix="1" applyFont="1" applyAlignment="1" applyProtection="1">
      <alignment horizontal="right" vertical="center"/>
      <protection locked="0"/>
    </xf>
    <xf numFmtId="0" fontId="0" fillId="0" borderId="0" xfId="0" applyAlignment="1" applyProtection="1">
      <alignment vertical="top" wrapText="1"/>
      <protection locked="0"/>
    </xf>
    <xf numFmtId="0" fontId="2" fillId="16" borderId="0" xfId="0" applyFont="1" applyFill="1" applyAlignment="1" applyProtection="1">
      <alignment horizontal="left" vertical="top"/>
      <protection locked="0"/>
    </xf>
    <xf numFmtId="0" fontId="21" fillId="0" borderId="0" xfId="0" applyFont="1" applyAlignment="1">
      <alignment horizontal="center" vertical="top" wrapText="1"/>
    </xf>
    <xf numFmtId="0" fontId="32" fillId="9" borderId="3" xfId="0" applyFont="1" applyFill="1" applyBorder="1" applyAlignment="1">
      <alignment horizontal="left" vertical="top" wrapText="1"/>
    </xf>
    <xf numFmtId="0" fontId="32" fillId="9" borderId="34" xfId="0" applyFont="1" applyFill="1" applyBorder="1" applyAlignment="1">
      <alignment horizontal="left" vertical="top" wrapText="1"/>
    </xf>
    <xf numFmtId="49" fontId="13" fillId="15" borderId="34" xfId="0" applyNumberFormat="1" applyFont="1" applyFill="1" applyBorder="1" applyAlignment="1">
      <alignment horizontal="left" vertical="center" wrapText="1"/>
    </xf>
    <xf numFmtId="0" fontId="13" fillId="14" borderId="49" xfId="0" applyFont="1" applyFill="1" applyBorder="1" applyAlignment="1">
      <alignment vertical="center" wrapText="1"/>
    </xf>
    <xf numFmtId="0" fontId="13" fillId="14" borderId="47" xfId="0" applyFont="1" applyFill="1" applyBorder="1" applyAlignment="1">
      <alignment vertical="center" wrapText="1"/>
    </xf>
    <xf numFmtId="0" fontId="13" fillId="14" borderId="35" xfId="0" applyFont="1" applyFill="1" applyBorder="1" applyAlignment="1">
      <alignment vertical="center" wrapText="1"/>
    </xf>
    <xf numFmtId="0" fontId="13" fillId="8" borderId="34" xfId="0" applyFont="1" applyFill="1" applyBorder="1" applyAlignment="1">
      <alignment vertical="center" wrapText="1"/>
    </xf>
    <xf numFmtId="164" fontId="27" fillId="8" borderId="34" xfId="0" applyNumberFormat="1" applyFont="1" applyFill="1" applyBorder="1" applyAlignment="1">
      <alignment horizontal="center" vertical="center" textRotation="90" wrapText="1"/>
    </xf>
    <xf numFmtId="0" fontId="13" fillId="11" borderId="50" xfId="0" applyFont="1" applyFill="1" applyBorder="1" applyAlignment="1">
      <alignment horizontal="center" vertical="center"/>
    </xf>
    <xf numFmtId="0" fontId="13" fillId="0" borderId="0" xfId="0" applyFont="1" applyAlignment="1">
      <alignment horizontal="center" vertical="top"/>
    </xf>
    <xf numFmtId="0" fontId="13" fillId="0" borderId="0" xfId="0" applyFont="1" applyAlignment="1">
      <alignment vertical="top" wrapText="1"/>
    </xf>
    <xf numFmtId="164" fontId="12" fillId="0" borderId="0" xfId="0" applyNumberFormat="1" applyFont="1" applyAlignment="1">
      <alignment vertical="top"/>
    </xf>
    <xf numFmtId="0" fontId="12" fillId="0" borderId="0" xfId="0" applyFont="1" applyAlignment="1">
      <alignment vertical="top"/>
    </xf>
    <xf numFmtId="1" fontId="12" fillId="0" borderId="0" xfId="0" applyNumberFormat="1" applyFont="1" applyAlignment="1">
      <alignment vertical="top"/>
    </xf>
    <xf numFmtId="0" fontId="13" fillId="0" borderId="0" xfId="0" applyFont="1" applyAlignment="1">
      <alignment vertical="top"/>
    </xf>
    <xf numFmtId="0" fontId="10" fillId="8" borderId="3" xfId="0" applyFont="1" applyFill="1" applyBorder="1" applyAlignment="1">
      <alignment horizontal="left" vertical="top" wrapText="1"/>
    </xf>
    <xf numFmtId="0" fontId="10" fillId="0" borderId="3" xfId="0" applyFont="1" applyBorder="1" applyAlignment="1">
      <alignment horizontal="left" vertical="top" wrapText="1"/>
    </xf>
    <xf numFmtId="0" fontId="12" fillId="0" borderId="0" xfId="0" applyFont="1" applyAlignment="1">
      <alignment vertical="top" wrapText="1"/>
    </xf>
    <xf numFmtId="0" fontId="17" fillId="0" borderId="0" xfId="0" applyFont="1" applyAlignment="1">
      <alignment vertical="top"/>
    </xf>
    <xf numFmtId="0" fontId="13" fillId="11" borderId="50" xfId="0" applyFont="1" applyFill="1" applyBorder="1" applyAlignment="1">
      <alignment horizontal="center" vertical="top"/>
    </xf>
    <xf numFmtId="0" fontId="13" fillId="11" borderId="43" xfId="0" applyFont="1" applyFill="1" applyBorder="1" applyAlignment="1">
      <alignment horizontal="center" vertical="top"/>
    </xf>
    <xf numFmtId="0" fontId="13" fillId="11" borderId="44" xfId="0" applyFont="1" applyFill="1" applyBorder="1" applyAlignment="1">
      <alignment vertical="top"/>
    </xf>
    <xf numFmtId="0" fontId="13" fillId="11" borderId="43" xfId="0" applyFont="1" applyFill="1" applyBorder="1" applyAlignment="1">
      <alignment vertical="top"/>
    </xf>
    <xf numFmtId="0" fontId="13" fillId="11" borderId="42" xfId="0" applyFont="1" applyFill="1" applyBorder="1" applyAlignment="1">
      <alignment vertical="top"/>
    </xf>
    <xf numFmtId="49" fontId="13" fillId="15" borderId="9" xfId="0" applyNumberFormat="1" applyFont="1" applyFill="1" applyBorder="1" applyAlignment="1">
      <alignment horizontal="left" vertical="top" wrapText="1"/>
    </xf>
    <xf numFmtId="0" fontId="13" fillId="15" borderId="40" xfId="0" applyFont="1" applyFill="1" applyBorder="1" applyAlignment="1">
      <alignment vertical="top" wrapText="1"/>
    </xf>
    <xf numFmtId="0" fontId="13" fillId="14" borderId="41" xfId="0" applyFont="1" applyFill="1" applyBorder="1" applyAlignment="1">
      <alignment vertical="top" wrapText="1"/>
    </xf>
    <xf numFmtId="0" fontId="13" fillId="14" borderId="40" xfId="0" applyFont="1" applyFill="1" applyBorder="1" applyAlignment="1">
      <alignment vertical="top" wrapText="1"/>
    </xf>
    <xf numFmtId="0" fontId="13" fillId="8" borderId="10" xfId="0" applyFont="1" applyFill="1" applyBorder="1" applyAlignment="1">
      <alignment vertical="top" wrapText="1"/>
    </xf>
    <xf numFmtId="0" fontId="13" fillId="8" borderId="9" xfId="0" applyFont="1" applyFill="1" applyBorder="1" applyAlignment="1">
      <alignment vertical="top" wrapText="1"/>
    </xf>
    <xf numFmtId="164" fontId="27" fillId="8" borderId="9" xfId="0" applyNumberFormat="1" applyFont="1" applyFill="1" applyBorder="1" applyAlignment="1">
      <alignment horizontal="center" vertical="top" textRotation="90" wrapText="1"/>
    </xf>
    <xf numFmtId="49" fontId="13" fillId="8" borderId="9" xfId="0" applyNumberFormat="1" applyFont="1" applyFill="1" applyBorder="1" applyAlignment="1">
      <alignment horizontal="center" vertical="top" wrapText="1"/>
    </xf>
    <xf numFmtId="1" fontId="27" fillId="8" borderId="9" xfId="0" applyNumberFormat="1" applyFont="1" applyFill="1" applyBorder="1" applyAlignment="1">
      <alignment vertical="top" textRotation="90" wrapText="1"/>
    </xf>
    <xf numFmtId="0" fontId="13" fillId="8" borderId="8" xfId="0" applyFont="1" applyFill="1" applyBorder="1" applyAlignment="1">
      <alignment vertical="top"/>
    </xf>
    <xf numFmtId="0" fontId="12" fillId="0" borderId="0" xfId="0" applyFont="1" applyAlignment="1">
      <alignment horizontal="center" vertical="top"/>
    </xf>
    <xf numFmtId="164" fontId="22" fillId="0" borderId="14" xfId="0" applyNumberFormat="1" applyFont="1" applyBorder="1" applyAlignment="1">
      <alignment horizontal="center" vertical="top"/>
    </xf>
    <xf numFmtId="0" fontId="24" fillId="0" borderId="0" xfId="0" applyFont="1" applyAlignment="1">
      <alignment horizontal="center" vertical="top"/>
    </xf>
    <xf numFmtId="164" fontId="22" fillId="0" borderId="3" xfId="0" applyNumberFormat="1" applyFont="1" applyBorder="1" applyAlignment="1">
      <alignment horizontal="center" vertical="top"/>
    </xf>
    <xf numFmtId="164" fontId="22" fillId="0" borderId="34" xfId="0" applyNumberFormat="1" applyFont="1" applyBorder="1" applyAlignment="1">
      <alignment horizontal="center" vertical="top"/>
    </xf>
    <xf numFmtId="49" fontId="13" fillId="8" borderId="34" xfId="0" applyNumberFormat="1" applyFont="1" applyFill="1" applyBorder="1" applyAlignment="1">
      <alignment horizontal="center" vertical="center" wrapText="1"/>
    </xf>
    <xf numFmtId="1" fontId="27" fillId="8" borderId="34" xfId="0" applyNumberFormat="1" applyFont="1" applyFill="1" applyBorder="1" applyAlignment="1">
      <alignment vertical="center" textRotation="90" wrapText="1"/>
    </xf>
    <xf numFmtId="49" fontId="27" fillId="8" borderId="34" xfId="0" applyNumberFormat="1" applyFont="1" applyFill="1" applyBorder="1" applyAlignment="1">
      <alignment vertical="center" textRotation="90" wrapText="1"/>
    </xf>
    <xf numFmtId="0" fontId="13" fillId="8" borderId="35" xfId="0" applyFont="1" applyFill="1" applyBorder="1" applyAlignment="1">
      <alignment vertical="center"/>
    </xf>
    <xf numFmtId="0" fontId="13" fillId="8" borderId="6" xfId="0" applyFont="1" applyFill="1" applyBorder="1" applyAlignment="1">
      <alignment horizontal="center" vertical="center"/>
    </xf>
    <xf numFmtId="165" fontId="18" fillId="8" borderId="19" xfId="0" applyNumberFormat="1" applyFont="1" applyFill="1" applyBorder="1" applyAlignment="1">
      <alignment horizontal="center" vertical="center" wrapText="1"/>
    </xf>
    <xf numFmtId="0" fontId="21" fillId="0" borderId="0" xfId="0" applyFont="1" applyAlignment="1">
      <alignment vertical="top"/>
    </xf>
    <xf numFmtId="0" fontId="13" fillId="15" borderId="8" xfId="0" applyFont="1" applyFill="1" applyBorder="1" applyAlignment="1">
      <alignment vertical="center" wrapText="1"/>
    </xf>
    <xf numFmtId="0" fontId="13" fillId="8" borderId="19" xfId="0" applyFont="1" applyFill="1" applyBorder="1" applyAlignment="1">
      <alignment horizontal="center" vertical="center"/>
    </xf>
    <xf numFmtId="49" fontId="13" fillId="15" borderId="10" xfId="0" applyNumberFormat="1" applyFont="1" applyFill="1" applyBorder="1" applyAlignment="1">
      <alignment horizontal="left" vertical="center" wrapText="1"/>
    </xf>
    <xf numFmtId="0" fontId="13" fillId="8" borderId="10" xfId="0" applyFont="1" applyFill="1" applyBorder="1" applyAlignment="1">
      <alignment vertical="center" wrapText="1"/>
    </xf>
    <xf numFmtId="0" fontId="45" fillId="0" borderId="0" xfId="0" applyFont="1"/>
    <xf numFmtId="0" fontId="45" fillId="0" borderId="0" xfId="0" applyFont="1" applyAlignment="1">
      <alignment horizontal="center" vertical="center"/>
    </xf>
    <xf numFmtId="0" fontId="45" fillId="0" borderId="0" xfId="0" applyFont="1" applyAlignment="1">
      <alignment wrapText="1"/>
    </xf>
    <xf numFmtId="0" fontId="46" fillId="0" borderId="0" xfId="0" applyFont="1" applyAlignment="1">
      <alignment horizontal="center" vertical="center"/>
    </xf>
    <xf numFmtId="164" fontId="45" fillId="0" borderId="0" xfId="0" applyNumberFormat="1" applyFont="1"/>
    <xf numFmtId="0" fontId="45" fillId="0" borderId="0" xfId="0" applyFont="1" applyAlignment="1">
      <alignment vertical="center"/>
    </xf>
    <xf numFmtId="1" fontId="45" fillId="0" borderId="0" xfId="0" applyNumberFormat="1" applyFont="1" applyAlignment="1">
      <alignment vertical="center"/>
    </xf>
    <xf numFmtId="0" fontId="46" fillId="0" borderId="0" xfId="0" applyFont="1"/>
    <xf numFmtId="2" fontId="12" fillId="0" borderId="0" xfId="0" applyNumberFormat="1" applyFont="1" applyAlignment="1">
      <alignment vertical="top"/>
    </xf>
    <xf numFmtId="2" fontId="21" fillId="0" borderId="0" xfId="0" applyNumberFormat="1" applyFont="1" applyAlignment="1">
      <alignment horizontal="center" vertical="top" wrapText="1"/>
    </xf>
    <xf numFmtId="2" fontId="13" fillId="11" borderId="43" xfId="0" applyNumberFormat="1" applyFont="1" applyFill="1" applyBorder="1" applyAlignment="1">
      <alignment vertical="top"/>
    </xf>
    <xf numFmtId="2" fontId="27" fillId="8" borderId="9" xfId="0" applyNumberFormat="1" applyFont="1" applyFill="1" applyBorder="1" applyAlignment="1">
      <alignment vertical="top" textRotation="90" wrapText="1"/>
    </xf>
    <xf numFmtId="0" fontId="22" fillId="0" borderId="15" xfId="0" applyFont="1" applyBorder="1" applyAlignment="1">
      <alignment horizontal="left" vertical="top" wrapText="1"/>
    </xf>
    <xf numFmtId="0" fontId="18" fillId="0" borderId="5" xfId="0" applyFont="1" applyBorder="1" applyAlignment="1">
      <alignment horizontal="center" vertical="center"/>
    </xf>
    <xf numFmtId="0" fontId="22" fillId="0" borderId="13" xfId="0" applyFont="1" applyBorder="1" applyAlignment="1">
      <alignment vertical="top" wrapText="1"/>
    </xf>
    <xf numFmtId="0" fontId="22" fillId="0" borderId="33" xfId="0" applyFont="1" applyBorder="1" applyAlignment="1">
      <alignment vertical="top" wrapText="1"/>
    </xf>
    <xf numFmtId="0" fontId="22" fillId="0" borderId="12" xfId="0" applyFont="1" applyBorder="1" applyAlignment="1">
      <alignment horizontal="left" vertical="top" wrapText="1"/>
    </xf>
    <xf numFmtId="0" fontId="22" fillId="0" borderId="35" xfId="0" applyFont="1" applyBorder="1" applyAlignment="1">
      <alignment vertical="top" wrapText="1"/>
    </xf>
    <xf numFmtId="0" fontId="19" fillId="0" borderId="35" xfId="0" applyFont="1" applyBorder="1" applyAlignment="1">
      <alignment vertical="top" wrapText="1"/>
    </xf>
    <xf numFmtId="0" fontId="19" fillId="0" borderId="33" xfId="0" applyFont="1" applyBorder="1" applyAlignment="1">
      <alignment vertical="top" wrapText="1"/>
    </xf>
    <xf numFmtId="0" fontId="19" fillId="0" borderId="13" xfId="0" applyFont="1" applyBorder="1" applyAlignment="1">
      <alignment vertical="top" wrapText="1"/>
    </xf>
    <xf numFmtId="0" fontId="5" fillId="10" borderId="38" xfId="0" applyFont="1" applyFill="1" applyBorder="1" applyAlignment="1">
      <alignment horizontal="center" vertical="center"/>
    </xf>
    <xf numFmtId="0" fontId="5" fillId="10" borderId="31" xfId="0" applyFont="1" applyFill="1" applyBorder="1" applyAlignment="1">
      <alignment horizontal="center" vertical="center"/>
    </xf>
    <xf numFmtId="0" fontId="5" fillId="10" borderId="33" xfId="0" applyFont="1" applyFill="1" applyBorder="1" applyAlignment="1">
      <alignment horizontal="center" vertical="center"/>
    </xf>
    <xf numFmtId="0" fontId="14" fillId="0" borderId="45" xfId="0" applyFont="1" applyBorder="1" applyAlignment="1">
      <alignment wrapText="1"/>
    </xf>
    <xf numFmtId="0" fontId="14" fillId="0" borderId="10" xfId="0" applyFont="1" applyBorder="1" applyAlignment="1">
      <alignment wrapText="1"/>
    </xf>
    <xf numFmtId="0" fontId="22" fillId="0" borderId="29" xfId="0" applyFont="1" applyBorder="1" applyAlignment="1">
      <alignment vertical="top" wrapText="1"/>
    </xf>
    <xf numFmtId="0" fontId="13" fillId="0" borderId="0" xfId="0" applyFont="1" applyAlignment="1">
      <alignment horizontal="left" vertical="top"/>
    </xf>
    <xf numFmtId="0" fontId="13" fillId="8" borderId="19" xfId="0" applyFont="1" applyFill="1" applyBorder="1" applyAlignment="1">
      <alignment horizontal="left" vertical="top"/>
    </xf>
    <xf numFmtId="0" fontId="22" fillId="0" borderId="45" xfId="0" applyFont="1" applyBorder="1" applyAlignment="1">
      <alignment horizontal="left" vertical="top" wrapText="1"/>
    </xf>
    <xf numFmtId="0" fontId="22" fillId="0" borderId="34" xfId="0" applyFont="1" applyBorder="1" applyAlignment="1">
      <alignment vertical="top" wrapText="1"/>
    </xf>
    <xf numFmtId="0" fontId="22" fillId="0" borderId="31" xfId="0" applyFont="1" applyBorder="1" applyAlignment="1">
      <alignment vertical="top" wrapText="1"/>
    </xf>
    <xf numFmtId="0" fontId="22" fillId="0" borderId="14" xfId="0" applyFont="1" applyBorder="1" applyAlignment="1">
      <alignment vertical="top" wrapText="1"/>
    </xf>
    <xf numFmtId="164" fontId="53" fillId="0" borderId="3" xfId="0" applyNumberFormat="1" applyFont="1" applyBorder="1" applyAlignment="1">
      <alignment horizontal="center" vertical="top"/>
    </xf>
    <xf numFmtId="0" fontId="24" fillId="14" borderId="36" xfId="0" applyFont="1" applyFill="1" applyBorder="1" applyAlignment="1">
      <alignment vertical="top" wrapText="1"/>
    </xf>
    <xf numFmtId="0" fontId="24" fillId="8" borderId="3" xfId="0" applyFont="1" applyFill="1" applyBorder="1" applyAlignment="1">
      <alignment vertical="top" wrapText="1"/>
    </xf>
    <xf numFmtId="0" fontId="22" fillId="0" borderId="39" xfId="0" applyFont="1" applyBorder="1" applyAlignment="1">
      <alignment vertical="top" wrapText="1"/>
    </xf>
    <xf numFmtId="0" fontId="19" fillId="0" borderId="34" xfId="0" applyFont="1" applyBorder="1" applyAlignment="1">
      <alignment vertical="top" wrapText="1"/>
    </xf>
    <xf numFmtId="0" fontId="19" fillId="0" borderId="31" xfId="0" applyFont="1" applyBorder="1" applyAlignment="1">
      <alignment vertical="top" wrapText="1"/>
    </xf>
    <xf numFmtId="0" fontId="19" fillId="0" borderId="14" xfId="0" applyFont="1" applyBorder="1" applyAlignment="1">
      <alignment vertical="top" wrapText="1"/>
    </xf>
    <xf numFmtId="9" fontId="22" fillId="0" borderId="30" xfId="1" applyFont="1" applyBorder="1" applyAlignment="1">
      <alignment vertical="center"/>
    </xf>
    <xf numFmtId="0" fontId="13" fillId="8" borderId="43" xfId="0" applyFont="1" applyFill="1" applyBorder="1" applyAlignment="1">
      <alignment horizontal="center" vertical="center" textRotation="90"/>
    </xf>
    <xf numFmtId="0" fontId="18" fillId="8" borderId="36" xfId="0" applyFont="1" applyFill="1" applyBorder="1" applyAlignment="1">
      <alignment horizontal="center" vertical="center"/>
    </xf>
    <xf numFmtId="0" fontId="18" fillId="8" borderId="32" xfId="0" applyFont="1" applyFill="1" applyBorder="1" applyAlignment="1">
      <alignment horizontal="center" vertical="center"/>
    </xf>
    <xf numFmtId="0" fontId="18" fillId="8" borderId="21" xfId="0" applyFont="1" applyFill="1" applyBorder="1" applyAlignment="1">
      <alignment horizontal="center" vertical="center"/>
    </xf>
    <xf numFmtId="0" fontId="12" fillId="0" borderId="0" xfId="0" applyFont="1" applyAlignment="1">
      <alignment horizontal="left" vertical="center"/>
    </xf>
    <xf numFmtId="9" fontId="12" fillId="0" borderId="0" xfId="0" applyNumberFormat="1" applyFont="1" applyAlignment="1">
      <alignment horizontal="center" vertical="center"/>
    </xf>
    <xf numFmtId="0" fontId="12" fillId="18" borderId="0" xfId="0" applyFont="1" applyFill="1" applyAlignment="1">
      <alignment wrapText="1"/>
    </xf>
    <xf numFmtId="0" fontId="12" fillId="18" borderId="0" xfId="0" quotePrefix="1" applyFont="1" applyFill="1" applyAlignment="1">
      <alignment wrapText="1"/>
    </xf>
    <xf numFmtId="0" fontId="18" fillId="0" borderId="3" xfId="0" applyFont="1" applyBorder="1" applyAlignment="1">
      <alignment horizontal="left" vertical="top" wrapText="1"/>
    </xf>
    <xf numFmtId="1" fontId="12" fillId="0" borderId="0" xfId="0" applyNumberFormat="1" applyFont="1"/>
    <xf numFmtId="164" fontId="12" fillId="0" borderId="0" xfId="1" applyNumberFormat="1" applyFont="1" applyAlignment="1">
      <alignment vertical="center"/>
    </xf>
    <xf numFmtId="10" fontId="12" fillId="0" borderId="0" xfId="1" applyNumberFormat="1" applyFont="1" applyAlignment="1">
      <alignment horizontal="center" vertical="center"/>
    </xf>
    <xf numFmtId="0" fontId="14" fillId="9" borderId="37" xfId="0" applyFont="1" applyFill="1" applyBorder="1" applyAlignment="1">
      <alignment horizontal="left" vertical="center" wrapText="1"/>
    </xf>
    <xf numFmtId="9" fontId="9" fillId="10" borderId="35" xfId="1" applyFont="1" applyFill="1" applyBorder="1" applyAlignment="1">
      <alignment vertical="center"/>
    </xf>
    <xf numFmtId="0" fontId="18" fillId="8" borderId="58" xfId="0" applyFont="1" applyFill="1" applyBorder="1" applyAlignment="1">
      <alignment horizontal="center" vertical="center" wrapText="1"/>
    </xf>
    <xf numFmtId="0" fontId="60" fillId="0" borderId="0" xfId="0" applyFont="1" applyAlignment="1">
      <alignment vertical="center"/>
    </xf>
    <xf numFmtId="10" fontId="12" fillId="0" borderId="0" xfId="0" applyNumberFormat="1" applyFont="1" applyAlignment="1">
      <alignment horizontal="center" vertical="center"/>
    </xf>
    <xf numFmtId="0" fontId="11" fillId="0" borderId="0" xfId="0" applyFont="1" applyAlignment="1">
      <alignment horizontal="justify" vertical="center"/>
    </xf>
    <xf numFmtId="0" fontId="10" fillId="0" borderId="0" xfId="0" applyFont="1" applyAlignment="1">
      <alignment horizontal="justify" vertical="center"/>
    </xf>
    <xf numFmtId="0" fontId="63" fillId="0" borderId="0" xfId="0" applyFont="1" applyAlignment="1">
      <alignment horizontal="justify" vertical="center"/>
    </xf>
    <xf numFmtId="0" fontId="11" fillId="0" borderId="0" xfId="0" applyFont="1" applyAlignment="1">
      <alignment wrapText="1"/>
    </xf>
    <xf numFmtId="0" fontId="0" fillId="0" borderId="2" xfId="0" applyBorder="1" applyAlignment="1" applyProtection="1">
      <alignment horizontal="left"/>
      <protection locked="0"/>
    </xf>
    <xf numFmtId="0" fontId="0" fillId="0" borderId="0" xfId="0" applyAlignment="1" applyProtection="1">
      <alignment horizontal="left"/>
      <protection locked="0"/>
    </xf>
    <xf numFmtId="0" fontId="22" fillId="0" borderId="10" xfId="0" applyFont="1" applyBorder="1" applyAlignment="1">
      <alignment horizontal="left" vertical="top" wrapText="1"/>
    </xf>
    <xf numFmtId="0" fontId="22" fillId="0" borderId="8" xfId="0" applyFont="1" applyBorder="1" applyAlignment="1">
      <alignment horizontal="left" vertical="top" wrapText="1"/>
    </xf>
    <xf numFmtId="0" fontId="12" fillId="0" borderId="0" xfId="0" applyFont="1" applyAlignment="1">
      <alignment horizontal="center" vertical="center" wrapText="1"/>
    </xf>
    <xf numFmtId="0" fontId="13" fillId="8" borderId="59" xfId="0" applyFont="1" applyFill="1" applyBorder="1" applyAlignment="1">
      <alignment horizontal="center" vertical="center"/>
    </xf>
    <xf numFmtId="0" fontId="13" fillId="8" borderId="41" xfId="0" applyFont="1" applyFill="1" applyBorder="1" applyAlignment="1">
      <alignment horizontal="center" vertical="center"/>
    </xf>
    <xf numFmtId="0" fontId="67" fillId="0" borderId="3" xfId="0" applyFont="1" applyBorder="1" applyAlignment="1">
      <alignment vertical="top" wrapText="1"/>
    </xf>
    <xf numFmtId="0" fontId="66" fillId="24" borderId="3" xfId="0" applyFont="1" applyFill="1" applyBorder="1" applyAlignment="1">
      <alignment vertical="top" wrapText="1"/>
    </xf>
    <xf numFmtId="0" fontId="0" fillId="0" borderId="0" xfId="0" applyAlignment="1">
      <alignment vertical="top"/>
    </xf>
    <xf numFmtId="0" fontId="66" fillId="23" borderId="3" xfId="0" applyFont="1" applyFill="1" applyBorder="1" applyAlignment="1">
      <alignment vertical="top" wrapText="1"/>
    </xf>
    <xf numFmtId="0" fontId="67" fillId="0" borderId="3" xfId="0" applyFont="1" applyBorder="1" applyAlignment="1">
      <alignment horizontal="justify" vertical="top" wrapText="1"/>
    </xf>
    <xf numFmtId="0" fontId="66" fillId="24" borderId="3" xfId="0" applyFont="1" applyFill="1" applyBorder="1" applyAlignment="1">
      <alignment vertical="top"/>
    </xf>
    <xf numFmtId="0" fontId="66" fillId="23" borderId="3" xfId="0" applyFont="1" applyFill="1" applyBorder="1" applyAlignment="1">
      <alignment vertical="top"/>
    </xf>
    <xf numFmtId="0" fontId="67" fillId="0" borderId="0" xfId="0" applyFont="1" applyAlignment="1">
      <alignment vertical="top"/>
    </xf>
    <xf numFmtId="0" fontId="13" fillId="14" borderId="10" xfId="0" applyFont="1" applyFill="1" applyBorder="1" applyAlignment="1">
      <alignment vertical="center" wrapText="1"/>
    </xf>
    <xf numFmtId="0" fontId="13" fillId="14" borderId="9" xfId="0" applyFont="1" applyFill="1" applyBorder="1" applyAlignment="1">
      <alignment vertical="center" wrapText="1"/>
    </xf>
    <xf numFmtId="0" fontId="13" fillId="11" borderId="45" xfId="0" applyFont="1" applyFill="1" applyBorder="1" applyAlignment="1">
      <alignment horizontal="center" vertical="center"/>
    </xf>
    <xf numFmtId="0" fontId="13" fillId="11" borderId="51" xfId="0" applyFont="1" applyFill="1" applyBorder="1" applyAlignment="1">
      <alignment horizontal="center" vertical="center"/>
    </xf>
    <xf numFmtId="164" fontId="18" fillId="8" borderId="30" xfId="0" applyNumberFormat="1" applyFont="1" applyFill="1" applyBorder="1" applyAlignment="1">
      <alignment vertical="center"/>
    </xf>
    <xf numFmtId="164" fontId="18" fillId="8" borderId="30" xfId="1" applyNumberFormat="1" applyFont="1" applyFill="1" applyBorder="1" applyAlignment="1">
      <alignment horizontal="center" vertical="center"/>
    </xf>
    <xf numFmtId="49" fontId="27" fillId="8" borderId="9" xfId="0" applyNumberFormat="1" applyFont="1" applyFill="1" applyBorder="1" applyAlignment="1">
      <alignment horizontal="center" vertical="top" textRotation="90" wrapText="1"/>
    </xf>
    <xf numFmtId="0" fontId="13" fillId="8" borderId="58" xfId="0" applyFont="1" applyFill="1" applyBorder="1" applyAlignment="1">
      <alignment horizontal="center" vertical="center"/>
    </xf>
    <xf numFmtId="49" fontId="22" fillId="0" borderId="45" xfId="0" applyNumberFormat="1" applyFont="1" applyBorder="1" applyAlignment="1">
      <alignment horizontal="left" vertical="top" wrapText="1"/>
    </xf>
    <xf numFmtId="0" fontId="22" fillId="0" borderId="25" xfId="0" applyFont="1" applyBorder="1" applyAlignment="1">
      <alignment horizontal="left" vertical="top" wrapText="1"/>
    </xf>
    <xf numFmtId="9" fontId="16" fillId="0" borderId="14" xfId="1" applyFont="1" applyFill="1" applyBorder="1" applyAlignment="1">
      <alignment vertical="center"/>
    </xf>
    <xf numFmtId="9" fontId="16" fillId="0" borderId="3" xfId="1" applyFont="1" applyFill="1" applyBorder="1" applyAlignment="1">
      <alignment vertical="center"/>
    </xf>
    <xf numFmtId="9" fontId="16" fillId="0" borderId="34" xfId="1" applyFont="1" applyFill="1" applyBorder="1" applyAlignment="1">
      <alignment vertical="center"/>
    </xf>
    <xf numFmtId="9" fontId="9" fillId="0" borderId="9" xfId="1" applyFont="1" applyFill="1" applyBorder="1" applyAlignment="1">
      <alignment vertical="center"/>
    </xf>
    <xf numFmtId="9" fontId="9" fillId="0" borderId="8" xfId="1" applyFont="1" applyFill="1" applyBorder="1" applyAlignment="1">
      <alignment vertical="center"/>
    </xf>
    <xf numFmtId="9" fontId="14" fillId="0" borderId="51" xfId="0" applyNumberFormat="1" applyFont="1" applyBorder="1" applyAlignment="1">
      <alignment wrapText="1"/>
    </xf>
    <xf numFmtId="9" fontId="14" fillId="0" borderId="9" xfId="0" applyNumberFormat="1" applyFont="1" applyBorder="1" applyAlignment="1">
      <alignment wrapText="1"/>
    </xf>
    <xf numFmtId="0" fontId="70" fillId="23" borderId="0" xfId="0" applyFont="1" applyFill="1" applyAlignment="1">
      <alignment horizontal="left" vertical="center" wrapText="1"/>
    </xf>
    <xf numFmtId="0" fontId="70" fillId="23" borderId="0" xfId="0" applyFont="1" applyFill="1" applyAlignment="1">
      <alignment vertical="center" wrapText="1"/>
    </xf>
    <xf numFmtId="0" fontId="71" fillId="0" borderId="0" xfId="0" applyFont="1" applyAlignment="1">
      <alignment horizontal="left" vertical="center" wrapText="1"/>
    </xf>
    <xf numFmtId="0" fontId="67" fillId="0" borderId="0" xfId="0" applyFont="1"/>
    <xf numFmtId="0" fontId="67" fillId="0" borderId="62" xfId="0" applyFont="1" applyBorder="1" applyAlignment="1">
      <alignment horizontal="left" vertical="center" wrapText="1" indent="1"/>
    </xf>
    <xf numFmtId="0" fontId="72" fillId="23" borderId="0" xfId="4" applyFont="1" applyFill="1" applyAlignment="1">
      <alignment vertical="center" wrapText="1"/>
    </xf>
    <xf numFmtId="0" fontId="20" fillId="10" borderId="62" xfId="0" applyFont="1" applyFill="1" applyBorder="1" applyAlignment="1">
      <alignment horizontal="left" vertical="center" wrapText="1" indent="1"/>
    </xf>
    <xf numFmtId="165" fontId="18" fillId="8" borderId="58" xfId="0" applyNumberFormat="1" applyFont="1" applyFill="1" applyBorder="1" applyAlignment="1">
      <alignment horizontal="center" vertical="center" wrapText="1"/>
    </xf>
    <xf numFmtId="164" fontId="18" fillId="8" borderId="63" xfId="0" applyNumberFormat="1" applyFont="1" applyFill="1" applyBorder="1" applyAlignment="1">
      <alignment horizontal="center" vertical="center"/>
    </xf>
    <xf numFmtId="9" fontId="22" fillId="0" borderId="63" xfId="1" applyFont="1" applyFill="1" applyBorder="1" applyAlignment="1">
      <alignment vertical="center"/>
    </xf>
    <xf numFmtId="10" fontId="18" fillId="8" borderId="63" xfId="0" applyNumberFormat="1" applyFont="1" applyFill="1" applyBorder="1" applyAlignment="1">
      <alignment vertical="center"/>
    </xf>
    <xf numFmtId="49" fontId="13" fillId="15" borderId="37" xfId="0" applyNumberFormat="1" applyFont="1" applyFill="1" applyBorder="1" applyAlignment="1">
      <alignment horizontal="left" vertical="center" wrapText="1"/>
    </xf>
    <xf numFmtId="0" fontId="73" fillId="0" borderId="0" xfId="0" applyFont="1" applyAlignment="1">
      <alignment wrapText="1"/>
    </xf>
    <xf numFmtId="0" fontId="73" fillId="0" borderId="0" xfId="0" applyFont="1"/>
    <xf numFmtId="0" fontId="73" fillId="0" borderId="0" xfId="0" applyFont="1" applyAlignment="1">
      <alignment horizontal="center" vertical="center"/>
    </xf>
    <xf numFmtId="0" fontId="74" fillId="0" borderId="0" xfId="0" applyFont="1" applyAlignment="1">
      <alignment horizontal="center" vertical="center"/>
    </xf>
    <xf numFmtId="164" fontId="73" fillId="0" borderId="0" xfId="0" applyNumberFormat="1" applyFont="1"/>
    <xf numFmtId="0" fontId="73" fillId="0" borderId="0" xfId="0" applyFont="1" applyAlignment="1">
      <alignment vertical="center"/>
    </xf>
    <xf numFmtId="1" fontId="73" fillId="0" borderId="0" xfId="0" applyNumberFormat="1" applyFont="1" applyAlignment="1">
      <alignment vertical="center"/>
    </xf>
    <xf numFmtId="0" fontId="74" fillId="0" borderId="0" xfId="0" applyFont="1"/>
    <xf numFmtId="0" fontId="73" fillId="0" borderId="0" xfId="0" applyFont="1" applyAlignment="1">
      <alignment vertical="top"/>
    </xf>
    <xf numFmtId="0" fontId="73" fillId="0" borderId="0" xfId="0" applyFont="1" applyAlignment="1">
      <alignment vertical="top" wrapText="1"/>
    </xf>
    <xf numFmtId="0" fontId="54" fillId="0" borderId="0" xfId="0" applyFont="1" applyAlignment="1">
      <alignment vertical="top"/>
    </xf>
    <xf numFmtId="0" fontId="22" fillId="0" borderId="9" xfId="0" applyFont="1" applyBorder="1" applyAlignment="1">
      <alignment horizontal="left" vertical="top" wrapText="1"/>
    </xf>
    <xf numFmtId="164" fontId="53" fillId="0" borderId="14" xfId="0" applyNumberFormat="1" applyFont="1" applyBorder="1" applyAlignment="1">
      <alignment horizontal="center" vertical="top"/>
    </xf>
    <xf numFmtId="0" fontId="24" fillId="8" borderId="36" xfId="0" applyFont="1" applyFill="1" applyBorder="1" applyAlignment="1">
      <alignment vertical="top" wrapText="1"/>
    </xf>
    <xf numFmtId="0" fontId="22" fillId="18" borderId="3" xfId="0" applyFont="1" applyFill="1" applyBorder="1" applyAlignment="1">
      <alignment horizontal="left" vertical="top" wrapText="1"/>
    </xf>
    <xf numFmtId="0" fontId="18" fillId="10" borderId="3" xfId="0" applyFont="1" applyFill="1" applyBorder="1" applyAlignment="1">
      <alignment horizontal="left" vertical="top" wrapText="1"/>
    </xf>
    <xf numFmtId="0" fontId="22" fillId="0" borderId="51" xfId="0" applyFont="1" applyBorder="1" applyAlignment="1">
      <alignment horizontal="left" vertical="top" wrapText="1"/>
    </xf>
    <xf numFmtId="16" fontId="22" fillId="0" borderId="3" xfId="0" applyNumberFormat="1" applyFont="1" applyBorder="1" applyAlignment="1">
      <alignment horizontal="left" vertical="top" wrapText="1"/>
    </xf>
    <xf numFmtId="10" fontId="22" fillId="0" borderId="3" xfId="0" applyNumberFormat="1" applyFont="1" applyBorder="1" applyAlignment="1">
      <alignment horizontal="center" vertical="top"/>
    </xf>
    <xf numFmtId="164" fontId="22" fillId="0" borderId="51" xfId="0" applyNumberFormat="1" applyFont="1" applyBorder="1" applyAlignment="1">
      <alignment horizontal="center" vertical="top"/>
    </xf>
    <xf numFmtId="164" fontId="22" fillId="0" borderId="9" xfId="0" applyNumberFormat="1" applyFont="1" applyBorder="1" applyAlignment="1">
      <alignment horizontal="center" vertical="top"/>
    </xf>
    <xf numFmtId="0" fontId="18" fillId="10" borderId="51" xfId="0" applyFont="1" applyFill="1" applyBorder="1" applyAlignment="1">
      <alignment horizontal="left" vertical="top" wrapText="1"/>
    </xf>
    <xf numFmtId="0" fontId="22" fillId="0" borderId="3" xfId="0" applyFont="1" applyBorder="1" applyAlignment="1">
      <alignment wrapText="1"/>
    </xf>
    <xf numFmtId="0" fontId="12" fillId="25" borderId="3" xfId="5" applyFont="1" applyBorder="1" applyAlignment="1">
      <alignment horizontal="left" vertical="top" wrapText="1"/>
    </xf>
    <xf numFmtId="0" fontId="12" fillId="25" borderId="14" xfId="5" applyFont="1" applyBorder="1" applyAlignment="1">
      <alignment horizontal="left" vertical="top" wrapText="1"/>
    </xf>
    <xf numFmtId="10" fontId="22" fillId="0" borderId="3" xfId="0" applyNumberFormat="1" applyFont="1" applyBorder="1" applyAlignment="1">
      <alignment horizontal="left" vertical="top"/>
    </xf>
    <xf numFmtId="0" fontId="22" fillId="0" borderId="3" xfId="0" applyFont="1" applyBorder="1" applyAlignment="1">
      <alignment vertical="top" wrapText="1"/>
    </xf>
    <xf numFmtId="0" fontId="12" fillId="0" borderId="3" xfId="0" applyFont="1" applyBorder="1" applyAlignment="1">
      <alignment horizontal="left" vertical="top"/>
    </xf>
    <xf numFmtId="0" fontId="13" fillId="0" borderId="2" xfId="0" applyFont="1" applyBorder="1" applyAlignment="1">
      <alignment vertical="top" wrapText="1"/>
    </xf>
    <xf numFmtId="0" fontId="76" fillId="17" borderId="3" xfId="2" applyFont="1" applyBorder="1" applyAlignment="1">
      <alignment vertical="top" wrapText="1"/>
    </xf>
    <xf numFmtId="0" fontId="76" fillId="17" borderId="3" xfId="2" applyFont="1" applyBorder="1" applyAlignment="1">
      <alignment horizontal="left" vertical="top" wrapText="1"/>
    </xf>
    <xf numFmtId="0" fontId="22" fillId="26" borderId="3" xfId="0" applyFont="1" applyFill="1" applyBorder="1" applyAlignment="1">
      <alignment wrapText="1"/>
    </xf>
    <xf numFmtId="0" fontId="22" fillId="26" borderId="3" xfId="0" applyFont="1" applyFill="1" applyBorder="1" applyAlignment="1">
      <alignment horizontal="left" vertical="top" wrapText="1"/>
    </xf>
    <xf numFmtId="10" fontId="18" fillId="8" borderId="63" xfId="0" applyNumberFormat="1" applyFont="1" applyFill="1" applyBorder="1" applyAlignment="1">
      <alignment horizontal="center" vertical="center"/>
    </xf>
    <xf numFmtId="10" fontId="22" fillId="0" borderId="9" xfId="0" applyNumberFormat="1" applyFont="1" applyBorder="1" applyAlignment="1">
      <alignment horizontal="center" vertical="top"/>
    </xf>
    <xf numFmtId="10" fontId="9" fillId="0" borderId="13" xfId="1" applyNumberFormat="1" applyFont="1" applyFill="1" applyBorder="1" applyAlignment="1">
      <alignment vertical="center"/>
    </xf>
    <xf numFmtId="10" fontId="9" fillId="0" borderId="11" xfId="1" applyNumberFormat="1" applyFont="1" applyFill="1" applyBorder="1" applyAlignment="1">
      <alignment vertical="center"/>
    </xf>
    <xf numFmtId="10" fontId="9" fillId="0" borderId="8" xfId="1" applyNumberFormat="1" applyFont="1" applyFill="1" applyBorder="1" applyAlignment="1">
      <alignment vertical="center"/>
    </xf>
    <xf numFmtId="0" fontId="22" fillId="0" borderId="67" xfId="0" applyFont="1" applyBorder="1" applyAlignment="1">
      <alignment horizontal="left" vertical="top" wrapText="1"/>
    </xf>
    <xf numFmtId="10" fontId="22" fillId="0" borderId="67" xfId="0" applyNumberFormat="1" applyFont="1" applyBorder="1" applyAlignment="1">
      <alignment horizontal="left" vertical="top"/>
    </xf>
    <xf numFmtId="0" fontId="22" fillId="0" borderId="69" xfId="0" applyFont="1" applyBorder="1" applyAlignment="1">
      <alignment horizontal="left" vertical="top" wrapText="1"/>
    </xf>
    <xf numFmtId="10" fontId="22" fillId="0" borderId="69" xfId="0" applyNumberFormat="1" applyFont="1" applyBorder="1" applyAlignment="1">
      <alignment horizontal="left" vertical="top"/>
    </xf>
    <xf numFmtId="0" fontId="22" fillId="0" borderId="74" xfId="0" applyFont="1" applyBorder="1" applyAlignment="1">
      <alignment horizontal="left" vertical="top" wrapText="1"/>
    </xf>
    <xf numFmtId="10" fontId="22" fillId="0" borderId="74" xfId="0" applyNumberFormat="1" applyFont="1" applyBorder="1" applyAlignment="1">
      <alignment horizontal="left" vertical="top"/>
    </xf>
    <xf numFmtId="10" fontId="22" fillId="0" borderId="67" xfId="0" applyNumberFormat="1" applyFont="1" applyBorder="1" applyAlignment="1">
      <alignment horizontal="center" vertical="top"/>
    </xf>
    <xf numFmtId="0" fontId="22" fillId="0" borderId="67" xfId="0" applyFont="1" applyBorder="1" applyAlignment="1">
      <alignment wrapText="1"/>
    </xf>
    <xf numFmtId="0" fontId="22" fillId="0" borderId="67" xfId="0" applyFont="1" applyBorder="1" applyAlignment="1">
      <alignment vertical="top" wrapText="1"/>
    </xf>
    <xf numFmtId="0" fontId="18" fillId="10" borderId="67" xfId="0" applyFont="1" applyFill="1" applyBorder="1" applyAlignment="1">
      <alignment horizontal="left" vertical="top" wrapText="1"/>
    </xf>
    <xf numFmtId="0" fontId="3" fillId="28" borderId="3" xfId="0" applyFont="1" applyFill="1" applyBorder="1" applyAlignment="1" applyProtection="1">
      <alignment horizontal="left" vertical="top" wrapText="1"/>
      <protection locked="0"/>
    </xf>
    <xf numFmtId="10" fontId="22" fillId="0" borderId="51" xfId="0" applyNumberFormat="1" applyFont="1" applyBorder="1" applyAlignment="1">
      <alignment horizontal="center" vertical="top"/>
    </xf>
    <xf numFmtId="164" fontId="21" fillId="0" borderId="0" xfId="1" applyNumberFormat="1" applyFont="1" applyAlignment="1">
      <alignment horizontal="center" wrapText="1"/>
    </xf>
    <xf numFmtId="0" fontId="12" fillId="0" borderId="0" xfId="0" applyFont="1" applyAlignment="1">
      <alignment horizontal="center" vertical="top" wrapText="1"/>
    </xf>
    <xf numFmtId="9" fontId="22" fillId="0" borderId="63" xfId="1" applyFont="1" applyBorder="1" applyAlignment="1">
      <alignment vertical="center"/>
    </xf>
    <xf numFmtId="0" fontId="22" fillId="27" borderId="3" xfId="0" applyFont="1" applyFill="1" applyBorder="1" applyAlignment="1">
      <alignment horizontal="left" vertical="top" wrapText="1"/>
    </xf>
    <xf numFmtId="10" fontId="15" fillId="0" borderId="52" xfId="0" applyNumberFormat="1" applyFont="1" applyBorder="1" applyAlignment="1">
      <alignment wrapText="1"/>
    </xf>
    <xf numFmtId="10" fontId="15" fillId="0" borderId="53" xfId="0" applyNumberFormat="1" applyFont="1" applyBorder="1" applyAlignment="1">
      <alignment wrapText="1"/>
    </xf>
    <xf numFmtId="0" fontId="13" fillId="11" borderId="22" xfId="0" applyFont="1" applyFill="1" applyBorder="1" applyAlignment="1">
      <alignment vertical="center"/>
    </xf>
    <xf numFmtId="0" fontId="13" fillId="11" borderId="91" xfId="0" applyFont="1" applyFill="1" applyBorder="1" applyAlignment="1">
      <alignment vertical="center"/>
    </xf>
    <xf numFmtId="1" fontId="27" fillId="8" borderId="9" xfId="0" applyNumberFormat="1" applyFont="1" applyFill="1" applyBorder="1" applyAlignment="1">
      <alignment horizontal="center" vertical="center" textRotation="90" wrapText="1"/>
    </xf>
    <xf numFmtId="49" fontId="27" fillId="8" borderId="9" xfId="0" applyNumberFormat="1" applyFont="1" applyFill="1" applyBorder="1" applyAlignment="1">
      <alignment horizontal="center" vertical="center" textRotation="90" wrapText="1"/>
    </xf>
    <xf numFmtId="0" fontId="13" fillId="11" borderId="23" xfId="0" applyFont="1" applyFill="1" applyBorder="1" applyAlignment="1">
      <alignment vertical="center"/>
    </xf>
    <xf numFmtId="0" fontId="79" fillId="0" borderId="0" xfId="0" applyFont="1" applyAlignment="1">
      <alignment horizontal="center" wrapText="1"/>
    </xf>
    <xf numFmtId="0" fontId="80" fillId="0" borderId="0" xfId="0" applyFont="1"/>
    <xf numFmtId="164" fontId="81" fillId="0" borderId="0" xfId="0" applyNumberFormat="1" applyFont="1"/>
    <xf numFmtId="0" fontId="18" fillId="8" borderId="57" xfId="0" applyFont="1" applyFill="1" applyBorder="1" applyAlignment="1">
      <alignment horizontal="center" vertical="center"/>
    </xf>
    <xf numFmtId="0" fontId="18" fillId="8" borderId="55" xfId="0" applyFont="1" applyFill="1" applyBorder="1" applyAlignment="1">
      <alignment horizontal="center" vertical="center"/>
    </xf>
    <xf numFmtId="10" fontId="22" fillId="0" borderId="34" xfId="0" applyNumberFormat="1" applyFont="1" applyBorder="1" applyAlignment="1">
      <alignment horizontal="center" vertical="top"/>
    </xf>
    <xf numFmtId="0" fontId="18" fillId="8" borderId="0" xfId="0" applyFont="1" applyFill="1" applyAlignment="1">
      <alignment horizontal="center" vertical="center" wrapText="1"/>
    </xf>
    <xf numFmtId="0" fontId="22" fillId="0" borderId="0" xfId="0" applyFont="1" applyAlignment="1">
      <alignment horizontal="left" vertical="top" wrapText="1"/>
    </xf>
    <xf numFmtId="0" fontId="23" fillId="0" borderId="0" xfId="0" applyFont="1" applyAlignment="1" applyProtection="1">
      <alignment horizontal="center" vertical="top" wrapText="1"/>
      <protection locked="0" hidden="1"/>
    </xf>
    <xf numFmtId="165" fontId="23" fillId="0" borderId="0" xfId="0" applyNumberFormat="1" applyFont="1" applyAlignment="1" applyProtection="1">
      <alignment horizontal="center" vertical="top" wrapText="1"/>
      <protection hidden="1"/>
    </xf>
    <xf numFmtId="10" fontId="22" fillId="0" borderId="0" xfId="0" applyNumberFormat="1" applyFont="1" applyAlignment="1">
      <alignment horizontal="center" vertical="top"/>
    </xf>
    <xf numFmtId="10" fontId="22" fillId="8" borderId="0" xfId="0" applyNumberFormat="1" applyFont="1" applyFill="1" applyAlignment="1">
      <alignment horizontal="center" vertical="top"/>
    </xf>
    <xf numFmtId="0" fontId="22" fillId="0" borderId="7" xfId="0" applyFont="1" applyBorder="1" applyAlignment="1">
      <alignment vertical="top" wrapText="1"/>
    </xf>
    <xf numFmtId="0" fontId="34" fillId="0" borderId="7" xfId="3" applyFont="1" applyFill="1" applyBorder="1" applyAlignment="1">
      <alignment vertical="top" wrapText="1"/>
    </xf>
    <xf numFmtId="0" fontId="18" fillId="8" borderId="30" xfId="0" applyFont="1" applyFill="1" applyBorder="1" applyAlignment="1">
      <alignment horizontal="center" vertical="center"/>
    </xf>
    <xf numFmtId="10" fontId="18" fillId="8" borderId="30" xfId="0" applyNumberFormat="1" applyFont="1" applyFill="1" applyBorder="1" applyAlignment="1">
      <alignment vertical="center"/>
    </xf>
    <xf numFmtId="10" fontId="22" fillId="0" borderId="14" xfId="0" applyNumberFormat="1" applyFont="1" applyBorder="1" applyAlignment="1">
      <alignment horizontal="center" vertical="top"/>
    </xf>
    <xf numFmtId="10" fontId="22" fillId="0" borderId="31" xfId="0" applyNumberFormat="1" applyFont="1" applyBorder="1" applyAlignment="1">
      <alignment horizontal="center" vertical="top"/>
    </xf>
    <xf numFmtId="0" fontId="12" fillId="0" borderId="3" xfId="0" applyFont="1" applyBorder="1" applyAlignment="1">
      <alignment vertical="center" wrapText="1"/>
    </xf>
    <xf numFmtId="0" fontId="12" fillId="0" borderId="3" xfId="0" applyFont="1" applyBorder="1" applyAlignment="1">
      <alignment vertical="center"/>
    </xf>
    <xf numFmtId="0" fontId="12" fillId="0" borderId="9" xfId="0" applyFont="1" applyBorder="1" applyAlignment="1">
      <alignment vertical="center"/>
    </xf>
    <xf numFmtId="0" fontId="13" fillId="8" borderId="64" xfId="0" applyFont="1" applyFill="1" applyBorder="1" applyAlignment="1">
      <alignment horizontal="center" vertical="center"/>
    </xf>
    <xf numFmtId="0" fontId="22" fillId="0" borderId="87" xfId="0" applyFont="1" applyBorder="1" applyAlignment="1">
      <alignment horizontal="left" vertical="top" wrapText="1"/>
    </xf>
    <xf numFmtId="10" fontId="22" fillId="0" borderId="87" xfId="0" applyNumberFormat="1" applyFont="1" applyBorder="1" applyAlignment="1">
      <alignment horizontal="center" vertical="top"/>
    </xf>
    <xf numFmtId="0" fontId="13" fillId="11" borderId="51" xfId="0" applyFont="1" applyFill="1" applyBorder="1" applyAlignment="1">
      <alignment vertical="center"/>
    </xf>
    <xf numFmtId="0" fontId="13" fillId="11" borderId="25" xfId="0" applyFont="1" applyFill="1" applyBorder="1" applyAlignment="1">
      <alignment vertical="center"/>
    </xf>
    <xf numFmtId="0" fontId="10" fillId="8" borderId="3" xfId="0" applyFont="1" applyFill="1" applyBorder="1" applyAlignment="1" applyProtection="1">
      <alignment horizontal="left" vertical="top" wrapText="1"/>
      <protection locked="0"/>
    </xf>
    <xf numFmtId="9" fontId="10" fillId="8" borderId="3" xfId="0" applyNumberFormat="1" applyFont="1" applyFill="1" applyBorder="1" applyAlignment="1" applyProtection="1">
      <alignment horizontal="left" wrapText="1"/>
      <protection locked="0"/>
    </xf>
    <xf numFmtId="9" fontId="10" fillId="8" borderId="3" xfId="1" applyFont="1" applyFill="1" applyBorder="1" applyAlignment="1">
      <alignment horizontal="left" wrapText="1"/>
    </xf>
    <xf numFmtId="9" fontId="10" fillId="8" borderId="3" xfId="0" applyNumberFormat="1" applyFont="1" applyFill="1" applyBorder="1" applyAlignment="1">
      <alignment horizontal="left" wrapText="1"/>
    </xf>
    <xf numFmtId="0" fontId="0" fillId="0" borderId="2" xfId="0" applyBorder="1" applyProtection="1">
      <protection locked="0"/>
    </xf>
    <xf numFmtId="0" fontId="0" fillId="0" borderId="0" xfId="0" applyProtection="1">
      <protection locked="0"/>
    </xf>
    <xf numFmtId="9" fontId="18" fillId="8" borderId="30" xfId="0" applyNumberFormat="1" applyFont="1" applyFill="1" applyBorder="1" applyAlignment="1">
      <alignment horizontal="center" vertical="center"/>
    </xf>
    <xf numFmtId="164" fontId="22" fillId="8" borderId="3" xfId="0" applyNumberFormat="1" applyFont="1" applyFill="1" applyBorder="1" applyAlignment="1">
      <alignment horizontal="center" vertical="top"/>
    </xf>
    <xf numFmtId="0" fontId="19" fillId="0" borderId="3" xfId="0" applyFont="1" applyBorder="1" applyAlignment="1">
      <alignment vertical="top" wrapText="1"/>
    </xf>
    <xf numFmtId="0" fontId="22" fillId="0" borderId="0" xfId="0" applyFont="1" applyAlignment="1">
      <alignment horizontal="center" vertical="top"/>
    </xf>
    <xf numFmtId="0" fontId="69" fillId="29" borderId="6" xfId="0" applyFont="1" applyFill="1" applyBorder="1" applyAlignment="1">
      <alignment horizontal="center" vertical="center"/>
    </xf>
    <xf numFmtId="0" fontId="18" fillId="29" borderId="19" xfId="0" applyFont="1" applyFill="1" applyBorder="1" applyAlignment="1">
      <alignment horizontal="center" vertical="center" wrapText="1"/>
    </xf>
    <xf numFmtId="165" fontId="18" fillId="29" borderId="19" xfId="0" applyNumberFormat="1" applyFont="1" applyFill="1" applyBorder="1" applyAlignment="1">
      <alignment horizontal="center" vertical="center" wrapText="1"/>
    </xf>
    <xf numFmtId="164" fontId="18" fillId="29" borderId="30" xfId="0" applyNumberFormat="1" applyFont="1" applyFill="1" applyBorder="1" applyAlignment="1">
      <alignment horizontal="center" vertical="center"/>
    </xf>
    <xf numFmtId="164" fontId="18" fillId="29" borderId="5" xfId="0" applyNumberFormat="1" applyFont="1" applyFill="1" applyBorder="1" applyAlignment="1">
      <alignment horizontal="center" vertical="center"/>
    </xf>
    <xf numFmtId="9" fontId="22" fillId="0" borderId="5" xfId="0" applyNumberFormat="1" applyFont="1" applyBorder="1" applyAlignment="1">
      <alignment vertical="center"/>
    </xf>
    <xf numFmtId="0" fontId="22" fillId="0" borderId="46" xfId="0" applyFont="1" applyBorder="1" applyAlignment="1">
      <alignment horizontal="left" vertical="top" wrapText="1"/>
    </xf>
    <xf numFmtId="165" fontId="23" fillId="0" borderId="3" xfId="0" applyNumberFormat="1" applyFont="1" applyBorder="1" applyAlignment="1" applyProtection="1">
      <alignment horizontal="center" vertical="top" wrapText="1"/>
      <protection hidden="1"/>
    </xf>
    <xf numFmtId="0" fontId="23" fillId="0" borderId="12" xfId="0" applyFont="1" applyBorder="1" applyAlignment="1" applyProtection="1">
      <alignment horizontal="center" vertical="top" wrapText="1"/>
      <protection locked="0" hidden="1"/>
    </xf>
    <xf numFmtId="0" fontId="18" fillId="8" borderId="3" xfId="0" applyFont="1" applyFill="1" applyBorder="1" applyAlignment="1">
      <alignment horizontal="center" vertical="center"/>
    </xf>
    <xf numFmtId="0" fontId="24" fillId="0" borderId="13" xfId="0" applyFont="1" applyBorder="1" applyAlignment="1">
      <alignment vertical="top" wrapText="1"/>
    </xf>
    <xf numFmtId="0" fontId="13" fillId="0" borderId="0" xfId="0" applyFont="1" applyAlignment="1">
      <alignment horizontal="center" wrapText="1"/>
    </xf>
    <xf numFmtId="0" fontId="80" fillId="0" borderId="0" xfId="0" applyFont="1" applyAlignment="1">
      <alignment horizontal="center"/>
    </xf>
    <xf numFmtId="0" fontId="13" fillId="8" borderId="36" xfId="0" applyFont="1" applyFill="1" applyBorder="1" applyAlignment="1">
      <alignment horizontal="center" vertical="center" wrapText="1"/>
    </xf>
    <xf numFmtId="0" fontId="12" fillId="0" borderId="0" xfId="0" applyFont="1" applyAlignment="1">
      <alignment horizontal="center" wrapText="1"/>
    </xf>
    <xf numFmtId="164" fontId="13" fillId="8" borderId="34" xfId="0" applyNumberFormat="1" applyFont="1" applyFill="1" applyBorder="1" applyAlignment="1">
      <alignment horizontal="center" vertical="center" textRotation="90" wrapText="1"/>
    </xf>
    <xf numFmtId="1" fontId="13" fillId="8" borderId="34" xfId="0" applyNumberFormat="1" applyFont="1" applyFill="1" applyBorder="1" applyAlignment="1">
      <alignment vertical="center" textRotation="90" wrapText="1"/>
    </xf>
    <xf numFmtId="49" fontId="13" fillId="8" borderId="34" xfId="0" applyNumberFormat="1" applyFont="1" applyFill="1" applyBorder="1" applyAlignment="1">
      <alignment vertical="center" textRotation="90" wrapText="1"/>
    </xf>
    <xf numFmtId="0" fontId="13" fillId="15" borderId="40" xfId="0" applyFont="1" applyFill="1" applyBorder="1" applyAlignment="1">
      <alignment vertical="center" wrapText="1"/>
    </xf>
    <xf numFmtId="0" fontId="24" fillId="8" borderId="14" xfId="0" applyFont="1" applyFill="1" applyBorder="1" applyAlignment="1">
      <alignment vertical="top" wrapText="1"/>
    </xf>
    <xf numFmtId="0" fontId="78" fillId="18" borderId="62" xfId="0" applyFont="1" applyFill="1" applyBorder="1"/>
    <xf numFmtId="0" fontId="17" fillId="18" borderId="62" xfId="0" applyFont="1" applyFill="1" applyBorder="1"/>
    <xf numFmtId="0" fontId="2" fillId="0" borderId="0" xfId="0" quotePrefix="1" applyFont="1" applyAlignment="1" applyProtection="1">
      <alignment horizontal="left" vertical="top" wrapText="1"/>
      <protection locked="0"/>
    </xf>
    <xf numFmtId="0" fontId="0" fillId="0" borderId="2" xfId="0" applyBorder="1" applyAlignment="1" applyProtection="1">
      <alignment horizontal="left"/>
      <protection locked="0"/>
    </xf>
    <xf numFmtId="0" fontId="0" fillId="0" borderId="0" xfId="0" applyAlignment="1" applyProtection="1">
      <alignment horizontal="left"/>
      <protection locked="0"/>
    </xf>
    <xf numFmtId="0" fontId="2" fillId="0" borderId="0" xfId="0" applyFont="1" applyAlignment="1" applyProtection="1">
      <alignment horizontal="center" vertical="top"/>
      <protection locked="0"/>
    </xf>
    <xf numFmtId="0" fontId="2" fillId="0" borderId="0" xfId="0" applyFont="1" applyAlignment="1" applyProtection="1">
      <alignment horizontal="left" vertical="top" wrapText="1"/>
      <protection locked="0"/>
    </xf>
    <xf numFmtId="0" fontId="5" fillId="2" borderId="2" xfId="0" applyFont="1" applyFill="1" applyBorder="1" applyAlignment="1" applyProtection="1">
      <alignment horizontal="center" vertical="center" wrapText="1"/>
      <protection locked="0"/>
    </xf>
    <xf numFmtId="0" fontId="5" fillId="2" borderId="0" xfId="0" applyFont="1" applyFill="1" applyAlignment="1" applyProtection="1">
      <alignment horizontal="center" vertical="center" wrapText="1"/>
      <protection locked="0"/>
    </xf>
    <xf numFmtId="0" fontId="0" fillId="0" borderId="0" xfId="0" applyAlignment="1" applyProtection="1">
      <alignment horizontal="left" vertical="top"/>
      <protection locked="0"/>
    </xf>
    <xf numFmtId="0" fontId="0" fillId="18" borderId="0" xfId="0" applyFill="1" applyAlignment="1" applyProtection="1">
      <alignment horizontal="left"/>
      <protection locked="0"/>
    </xf>
    <xf numFmtId="0" fontId="8" fillId="0" borderId="0" xfId="0" applyFont="1" applyAlignment="1" applyProtection="1">
      <alignment horizontal="center" vertical="top" wrapText="1"/>
      <protection locked="0"/>
    </xf>
    <xf numFmtId="0" fontId="0" fillId="0" borderId="0" xfId="0" applyAlignment="1" applyProtection="1">
      <alignment horizontal="left" vertical="top" wrapText="1"/>
      <protection locked="0"/>
    </xf>
    <xf numFmtId="0" fontId="5" fillId="10" borderId="6" xfId="0" applyFont="1" applyFill="1" applyBorder="1" applyAlignment="1">
      <alignment horizontal="center" vertical="center"/>
    </xf>
    <xf numFmtId="0" fontId="5" fillId="10" borderId="19" xfId="0" applyFont="1" applyFill="1" applyBorder="1" applyAlignment="1">
      <alignment horizontal="center" vertical="center"/>
    </xf>
    <xf numFmtId="0" fontId="5" fillId="10" borderId="5" xfId="0" applyFont="1" applyFill="1" applyBorder="1" applyAlignment="1">
      <alignment horizontal="center" vertical="center"/>
    </xf>
    <xf numFmtId="0" fontId="21" fillId="0" borderId="0" xfId="0" applyFont="1" applyAlignment="1">
      <alignment horizontal="center" vertical="top" wrapText="1"/>
    </xf>
    <xf numFmtId="0" fontId="10" fillId="13" borderId="6" xfId="0" applyFont="1" applyFill="1" applyBorder="1" applyAlignment="1">
      <alignment horizontal="left" vertical="center" wrapText="1"/>
    </xf>
    <xf numFmtId="0" fontId="10" fillId="13" borderId="61" xfId="0" applyFont="1" applyFill="1" applyBorder="1" applyAlignment="1">
      <alignment horizontal="left" vertical="center" wrapText="1"/>
    </xf>
    <xf numFmtId="49" fontId="20" fillId="11" borderId="28" xfId="0" applyNumberFormat="1" applyFont="1" applyFill="1" applyBorder="1" applyAlignment="1">
      <alignment horizontal="center" vertical="center" wrapText="1"/>
    </xf>
    <xf numFmtId="49" fontId="20" fillId="11" borderId="19" xfId="0" applyNumberFormat="1" applyFont="1" applyFill="1" applyBorder="1" applyAlignment="1">
      <alignment horizontal="center" vertical="center" wrapText="1"/>
    </xf>
    <xf numFmtId="49" fontId="20" fillId="11" borderId="27" xfId="0" applyNumberFormat="1" applyFont="1" applyFill="1" applyBorder="1" applyAlignment="1">
      <alignment horizontal="center" vertical="center" wrapText="1"/>
    </xf>
    <xf numFmtId="0" fontId="18" fillId="0" borderId="23" xfId="0" applyFont="1" applyBorder="1" applyAlignment="1">
      <alignment horizontal="center"/>
    </xf>
    <xf numFmtId="0" fontId="18" fillId="0" borderId="22" xfId="0" applyFont="1" applyBorder="1" applyAlignment="1">
      <alignment horizontal="center"/>
    </xf>
    <xf numFmtId="0" fontId="18" fillId="0" borderId="21" xfId="0" applyFont="1" applyBorder="1" applyAlignment="1">
      <alignment horizontal="center"/>
    </xf>
    <xf numFmtId="0" fontId="18" fillId="0" borderId="9" xfId="0" applyFont="1" applyBorder="1" applyAlignment="1">
      <alignment horizontal="center"/>
    </xf>
    <xf numFmtId="0" fontId="0" fillId="18" borderId="62" xfId="0" applyFill="1" applyBorder="1" applyAlignment="1">
      <alignment horizontal="center" vertical="top" wrapText="1"/>
    </xf>
    <xf numFmtId="164" fontId="22" fillId="0" borderId="3" xfId="0" applyNumberFormat="1" applyFont="1" applyBorder="1" applyAlignment="1">
      <alignment horizontal="center" vertical="top"/>
    </xf>
    <xf numFmtId="10" fontId="22" fillId="8" borderId="14" xfId="0" applyNumberFormat="1" applyFont="1" applyFill="1" applyBorder="1" applyAlignment="1">
      <alignment horizontal="center" vertical="top"/>
    </xf>
    <xf numFmtId="10" fontId="22" fillId="8" borderId="3" xfId="0" applyNumberFormat="1" applyFont="1" applyFill="1" applyBorder="1" applyAlignment="1">
      <alignment horizontal="center" vertical="top"/>
    </xf>
    <xf numFmtId="0" fontId="22" fillId="0" borderId="11" xfId="0" applyFont="1" applyBorder="1" applyAlignment="1">
      <alignment vertical="top" wrapText="1"/>
    </xf>
    <xf numFmtId="0" fontId="18" fillId="8" borderId="60" xfId="0" applyFont="1" applyFill="1" applyBorder="1" applyAlignment="1">
      <alignment horizontal="center" vertical="center"/>
    </xf>
    <xf numFmtId="0" fontId="18" fillId="8" borderId="53" xfId="0" applyFont="1" applyFill="1" applyBorder="1" applyAlignment="1">
      <alignment horizontal="center" vertical="center"/>
    </xf>
    <xf numFmtId="0" fontId="22" fillId="0" borderId="12" xfId="0" applyFont="1" applyBorder="1" applyAlignment="1">
      <alignment horizontal="left" vertical="top" wrapText="1"/>
    </xf>
    <xf numFmtId="0" fontId="22" fillId="0" borderId="10" xfId="0" applyFont="1" applyBorder="1" applyAlignment="1">
      <alignment horizontal="left" vertical="top" wrapText="1"/>
    </xf>
    <xf numFmtId="0" fontId="22" fillId="0" borderId="46" xfId="0" applyFont="1" applyBorder="1" applyAlignment="1">
      <alignment horizontal="left" vertical="top" wrapText="1"/>
    </xf>
    <xf numFmtId="0" fontId="22" fillId="0" borderId="40" xfId="0" applyFont="1" applyBorder="1" applyAlignment="1">
      <alignment horizontal="left" vertical="top" wrapText="1"/>
    </xf>
    <xf numFmtId="0" fontId="24" fillId="0" borderId="12" xfId="0" applyFont="1" applyBorder="1" applyAlignment="1">
      <alignment horizontal="left" vertical="top" wrapText="1"/>
    </xf>
    <xf numFmtId="0" fontId="22" fillId="0" borderId="3" xfId="0" applyFont="1" applyBorder="1" applyAlignment="1">
      <alignment horizontal="left" vertical="top" wrapText="1"/>
    </xf>
    <xf numFmtId="0" fontId="22" fillId="0" borderId="9" xfId="0" applyFont="1" applyBorder="1" applyAlignment="1">
      <alignment horizontal="left" vertical="top" wrapText="1"/>
    </xf>
    <xf numFmtId="0" fontId="22" fillId="0" borderId="11" xfId="0" applyFont="1" applyBorder="1" applyAlignment="1">
      <alignment horizontal="left" vertical="top" wrapText="1"/>
    </xf>
    <xf numFmtId="0" fontId="22" fillId="0" borderId="8" xfId="0" applyFont="1" applyBorder="1" applyAlignment="1">
      <alignment horizontal="left" vertical="top" wrapText="1"/>
    </xf>
    <xf numFmtId="0" fontId="23" fillId="0" borderId="24" xfId="0" applyFont="1" applyBorder="1" applyAlignment="1" applyProtection="1">
      <alignment horizontal="center" vertical="top" wrapText="1"/>
      <protection locked="0" hidden="1"/>
    </xf>
    <xf numFmtId="0" fontId="23" fillId="0" borderId="20" xfId="0" applyFont="1" applyBorder="1" applyAlignment="1" applyProtection="1">
      <alignment horizontal="center" vertical="top" wrapText="1"/>
      <protection locked="0" hidden="1"/>
    </xf>
    <xf numFmtId="165" fontId="23" fillId="0" borderId="3" xfId="0" applyNumberFormat="1" applyFont="1" applyBorder="1" applyAlignment="1" applyProtection="1">
      <alignment horizontal="center" vertical="top" wrapText="1"/>
      <protection hidden="1"/>
    </xf>
    <xf numFmtId="165" fontId="23" fillId="0" borderId="9" xfId="0" applyNumberFormat="1" applyFont="1" applyBorder="1" applyAlignment="1" applyProtection="1">
      <alignment horizontal="center" vertical="top" wrapText="1"/>
      <protection hidden="1"/>
    </xf>
    <xf numFmtId="164" fontId="22" fillId="0" borderId="14" xfId="0" applyNumberFormat="1" applyFont="1" applyBorder="1" applyAlignment="1">
      <alignment horizontal="center" vertical="top"/>
    </xf>
    <xf numFmtId="164" fontId="22" fillId="0" borderId="9" xfId="0" applyNumberFormat="1" applyFont="1" applyBorder="1" applyAlignment="1">
      <alignment horizontal="center" vertical="top"/>
    </xf>
    <xf numFmtId="10" fontId="22" fillId="8" borderId="9" xfId="0" applyNumberFormat="1" applyFont="1" applyFill="1" applyBorder="1" applyAlignment="1">
      <alignment horizontal="center" vertical="top"/>
    </xf>
    <xf numFmtId="0" fontId="22" fillId="0" borderId="8" xfId="0" applyFont="1" applyBorder="1" applyAlignment="1">
      <alignment vertical="top" wrapText="1"/>
    </xf>
    <xf numFmtId="0" fontId="22" fillId="0" borderId="35" xfId="0" applyFont="1" applyBorder="1" applyAlignment="1">
      <alignment vertical="top" wrapText="1"/>
    </xf>
    <xf numFmtId="0" fontId="12" fillId="0" borderId="46" xfId="0" applyFont="1" applyBorder="1" applyAlignment="1">
      <alignment horizontal="left" vertical="top" wrapText="1"/>
    </xf>
    <xf numFmtId="0" fontId="22" fillId="0" borderId="35" xfId="0" applyFont="1" applyBorder="1" applyAlignment="1">
      <alignment horizontal="left" vertical="top" wrapText="1"/>
    </xf>
    <xf numFmtId="0" fontId="22" fillId="0" borderId="33" xfId="0" applyFont="1" applyBorder="1" applyAlignment="1">
      <alignment horizontal="left" vertical="top" wrapText="1"/>
    </xf>
    <xf numFmtId="0" fontId="22" fillId="0" borderId="13" xfId="0" applyFont="1" applyBorder="1" applyAlignment="1">
      <alignment horizontal="left" vertical="top" wrapText="1"/>
    </xf>
    <xf numFmtId="0" fontId="23" fillId="0" borderId="36" xfId="0" applyFont="1" applyBorder="1" applyAlignment="1" applyProtection="1">
      <alignment horizontal="center" vertical="top" wrapText="1"/>
      <protection locked="0" hidden="1"/>
    </xf>
    <xf numFmtId="0" fontId="23" fillId="0" borderId="32" xfId="0" applyFont="1" applyBorder="1" applyAlignment="1" applyProtection="1">
      <alignment horizontal="center" vertical="top" wrapText="1"/>
      <protection locked="0" hidden="1"/>
    </xf>
    <xf numFmtId="0" fontId="23" fillId="0" borderId="21" xfId="0" applyFont="1" applyBorder="1" applyAlignment="1" applyProtection="1">
      <alignment horizontal="center" vertical="top" wrapText="1"/>
      <protection locked="0" hidden="1"/>
    </xf>
    <xf numFmtId="165" fontId="23" fillId="0" borderId="34" xfId="0" applyNumberFormat="1" applyFont="1" applyBorder="1" applyAlignment="1" applyProtection="1">
      <alignment horizontal="center" vertical="top" wrapText="1"/>
      <protection hidden="1"/>
    </xf>
    <xf numFmtId="165" fontId="23" fillId="0" borderId="31" xfId="0" applyNumberFormat="1" applyFont="1" applyBorder="1" applyAlignment="1" applyProtection="1">
      <alignment horizontal="center" vertical="top" wrapText="1"/>
      <protection hidden="1"/>
    </xf>
    <xf numFmtId="165" fontId="23" fillId="0" borderId="14" xfId="0" applyNumberFormat="1" applyFont="1" applyBorder="1" applyAlignment="1" applyProtection="1">
      <alignment horizontal="center" vertical="top" wrapText="1"/>
      <protection hidden="1"/>
    </xf>
    <xf numFmtId="164" fontId="22" fillId="8" borderId="3" xfId="0" applyNumberFormat="1" applyFont="1" applyFill="1" applyBorder="1" applyAlignment="1">
      <alignment horizontal="center" vertical="top"/>
    </xf>
    <xf numFmtId="164" fontId="22" fillId="8" borderId="34" xfId="0" applyNumberFormat="1" applyFont="1" applyFill="1" applyBorder="1" applyAlignment="1">
      <alignment horizontal="center" vertical="top"/>
    </xf>
    <xf numFmtId="0" fontId="22" fillId="0" borderId="11" xfId="0" applyFont="1" applyBorder="1" applyAlignment="1">
      <alignment vertical="center" wrapText="1"/>
    </xf>
    <xf numFmtId="0" fontId="22" fillId="0" borderId="13" xfId="0" applyFont="1" applyBorder="1" applyAlignment="1">
      <alignment vertical="top" wrapText="1"/>
    </xf>
    <xf numFmtId="0" fontId="18" fillId="8" borderId="55" xfId="0" applyFont="1" applyFill="1" applyBorder="1" applyAlignment="1">
      <alignment horizontal="center" vertical="center"/>
    </xf>
    <xf numFmtId="0" fontId="18" fillId="8" borderId="56" xfId="0" applyFont="1" applyFill="1" applyBorder="1" applyAlignment="1">
      <alignment horizontal="center" vertical="center"/>
    </xf>
    <xf numFmtId="0" fontId="22" fillId="0" borderId="37" xfId="0" applyFont="1" applyBorder="1" applyAlignment="1">
      <alignment horizontal="left" vertical="top" wrapText="1"/>
    </xf>
    <xf numFmtId="0" fontId="22" fillId="0" borderId="38" xfId="0" applyFont="1" applyBorder="1" applyAlignment="1">
      <alignment horizontal="left" vertical="top" wrapText="1"/>
    </xf>
    <xf numFmtId="0" fontId="22" fillId="0" borderId="15" xfId="0" applyFont="1" applyBorder="1" applyAlignment="1">
      <alignment horizontal="left" vertical="top" wrapText="1"/>
    </xf>
    <xf numFmtId="0" fontId="22" fillId="0" borderId="31" xfId="0" applyFont="1" applyBorder="1" applyAlignment="1">
      <alignment horizontal="left" vertical="top" wrapText="1"/>
    </xf>
    <xf numFmtId="0" fontId="22" fillId="0" borderId="14" xfId="0" applyFont="1" applyBorder="1" applyAlignment="1">
      <alignment horizontal="left" vertical="top" wrapText="1"/>
    </xf>
    <xf numFmtId="0" fontId="22" fillId="0" borderId="34" xfId="0" applyFont="1" applyBorder="1" applyAlignment="1">
      <alignment horizontal="left" vertical="top" wrapText="1"/>
    </xf>
    <xf numFmtId="0" fontId="13" fillId="8" borderId="50" xfId="0" applyFont="1" applyFill="1" applyBorder="1" applyAlignment="1">
      <alignment horizontal="center" vertical="center" textRotation="90"/>
    </xf>
    <xf numFmtId="0" fontId="13" fillId="8" borderId="41" xfId="0" applyFont="1" applyFill="1" applyBorder="1" applyAlignment="1">
      <alignment horizontal="center" vertical="center" textRotation="90"/>
    </xf>
    <xf numFmtId="0" fontId="13" fillId="13" borderId="45" xfId="0" applyFont="1" applyFill="1" applyBorder="1" applyAlignment="1">
      <alignment horizontal="center" vertical="center"/>
    </xf>
    <xf numFmtId="0" fontId="13" fillId="13" borderId="25" xfId="0" applyFont="1" applyFill="1" applyBorder="1" applyAlignment="1">
      <alignment horizontal="center" vertical="center"/>
    </xf>
    <xf numFmtId="0" fontId="13" fillId="12" borderId="45" xfId="0" applyFont="1" applyFill="1" applyBorder="1" applyAlignment="1">
      <alignment horizontal="center" vertical="center"/>
    </xf>
    <xf numFmtId="0" fontId="13" fillId="12" borderId="51" xfId="0" applyFont="1" applyFill="1" applyBorder="1" applyAlignment="1">
      <alignment horizontal="center" vertical="center"/>
    </xf>
    <xf numFmtId="0" fontId="13" fillId="12" borderId="25" xfId="0" applyFont="1" applyFill="1" applyBorder="1" applyAlignment="1">
      <alignment horizontal="center" vertical="center"/>
    </xf>
    <xf numFmtId="0" fontId="24" fillId="0" borderId="38" xfId="0" applyFont="1" applyBorder="1" applyAlignment="1">
      <alignment horizontal="left" vertical="top" wrapText="1"/>
    </xf>
    <xf numFmtId="0" fontId="22" fillId="0" borderId="45" xfId="0" applyFont="1" applyBorder="1" applyAlignment="1">
      <alignment horizontal="left" vertical="top" wrapText="1"/>
    </xf>
    <xf numFmtId="0" fontId="22" fillId="0" borderId="44" xfId="0" applyFont="1" applyBorder="1" applyAlignment="1">
      <alignment horizontal="left" vertical="top" wrapText="1"/>
    </xf>
    <xf numFmtId="0" fontId="22" fillId="0" borderId="48" xfId="0" applyFont="1" applyBorder="1" applyAlignment="1">
      <alignment horizontal="left" vertical="top" wrapText="1"/>
    </xf>
    <xf numFmtId="0" fontId="22" fillId="0" borderId="39" xfId="0" applyFont="1" applyBorder="1" applyAlignment="1">
      <alignment horizontal="left" vertical="top" wrapText="1"/>
    </xf>
    <xf numFmtId="0" fontId="22" fillId="0" borderId="29" xfId="0" applyFont="1" applyBorder="1" applyAlignment="1">
      <alignment horizontal="left" vertical="top" wrapText="1"/>
    </xf>
    <xf numFmtId="0" fontId="18" fillId="8" borderId="54" xfId="0" applyFont="1" applyFill="1" applyBorder="1" applyAlignment="1">
      <alignment horizontal="center" vertical="center"/>
    </xf>
    <xf numFmtId="0" fontId="18" fillId="0" borderId="64" xfId="0" applyFont="1" applyBorder="1" applyAlignment="1">
      <alignment horizontal="center" vertical="center"/>
    </xf>
    <xf numFmtId="0" fontId="18" fillId="0" borderId="65" xfId="0" applyFont="1" applyBorder="1" applyAlignment="1">
      <alignment horizontal="center" vertical="center"/>
    </xf>
    <xf numFmtId="0" fontId="23" fillId="0" borderId="61" xfId="0" applyFont="1" applyBorder="1" applyAlignment="1" applyProtection="1">
      <alignment horizontal="center" vertical="top" wrapText="1"/>
      <protection locked="0" hidden="1"/>
    </xf>
    <xf numFmtId="165" fontId="23" fillId="0" borderId="39" xfId="0" applyNumberFormat="1" applyFont="1" applyBorder="1" applyAlignment="1" applyProtection="1">
      <alignment horizontal="center" vertical="top" wrapText="1"/>
      <protection hidden="1"/>
    </xf>
    <xf numFmtId="164" fontId="22" fillId="0" borderId="51" xfId="0" applyNumberFormat="1" applyFont="1" applyBorder="1" applyAlignment="1">
      <alignment horizontal="center" vertical="top"/>
    </xf>
    <xf numFmtId="0" fontId="78" fillId="18" borderId="47" xfId="0" applyFont="1" applyFill="1" applyBorder="1" applyAlignment="1">
      <alignment horizontal="center" vertical="top" wrapText="1"/>
    </xf>
    <xf numFmtId="0" fontId="78" fillId="18" borderId="93" xfId="0" applyFont="1" applyFill="1" applyBorder="1" applyAlignment="1">
      <alignment horizontal="center" vertical="top" wrapText="1"/>
    </xf>
    <xf numFmtId="0" fontId="78" fillId="18" borderId="36" xfId="0" applyFont="1" applyFill="1" applyBorder="1" applyAlignment="1">
      <alignment horizontal="center" vertical="top" wrapText="1"/>
    </xf>
    <xf numFmtId="0" fontId="78" fillId="18" borderId="23" xfId="0" applyFont="1" applyFill="1" applyBorder="1" applyAlignment="1">
      <alignment horizontal="center" vertical="top" wrapText="1"/>
    </xf>
    <xf numFmtId="0" fontId="78" fillId="18" borderId="22" xfId="0" applyFont="1" applyFill="1" applyBorder="1" applyAlignment="1">
      <alignment horizontal="center" vertical="top" wrapText="1"/>
    </xf>
    <xf numFmtId="0" fontId="78" fillId="18" borderId="21" xfId="0" applyFont="1" applyFill="1" applyBorder="1" applyAlignment="1">
      <alignment horizontal="center" vertical="top" wrapText="1"/>
    </xf>
    <xf numFmtId="0" fontId="78" fillId="18" borderId="34" xfId="0" applyFont="1" applyFill="1" applyBorder="1" applyAlignment="1">
      <alignment horizontal="center" vertical="top" wrapText="1"/>
    </xf>
    <xf numFmtId="0" fontId="13" fillId="11" borderId="44" xfId="0" applyFont="1" applyFill="1" applyBorder="1" applyAlignment="1">
      <alignment horizontal="left" vertical="center"/>
    </xf>
    <xf numFmtId="0" fontId="13" fillId="11" borderId="43" xfId="0" applyFont="1" applyFill="1" applyBorder="1" applyAlignment="1">
      <alignment horizontal="left" vertical="center"/>
    </xf>
    <xf numFmtId="0" fontId="13" fillId="11" borderId="42" xfId="0" applyFont="1" applyFill="1" applyBorder="1" applyAlignment="1">
      <alignment horizontal="left" vertical="center"/>
    </xf>
    <xf numFmtId="164" fontId="22" fillId="8" borderId="51" xfId="0" applyNumberFormat="1" applyFont="1" applyFill="1" applyBorder="1" applyAlignment="1">
      <alignment horizontal="center" vertical="top"/>
    </xf>
    <xf numFmtId="0" fontId="22" fillId="0" borderId="25" xfId="0" applyFont="1" applyBorder="1" applyAlignment="1">
      <alignment vertical="top" wrapText="1"/>
    </xf>
    <xf numFmtId="0" fontId="18" fillId="0" borderId="6" xfId="0" applyFont="1" applyBorder="1" applyAlignment="1">
      <alignment horizontal="center" vertical="center"/>
    </xf>
    <xf numFmtId="0" fontId="18" fillId="0" borderId="5" xfId="0" applyFont="1" applyBorder="1" applyAlignment="1">
      <alignment horizontal="center" vertical="center"/>
    </xf>
    <xf numFmtId="0" fontId="23" fillId="0" borderId="37" xfId="0" applyFont="1" applyBorder="1" applyAlignment="1" applyProtection="1">
      <alignment horizontal="center" vertical="top" wrapText="1"/>
      <protection locked="0" hidden="1"/>
    </xf>
    <xf numFmtId="0" fontId="23" fillId="0" borderId="38" xfId="0" applyFont="1" applyBorder="1" applyAlignment="1" applyProtection="1">
      <alignment horizontal="center" vertical="top" wrapText="1"/>
      <protection locked="0" hidden="1"/>
    </xf>
    <xf numFmtId="0" fontId="23" fillId="0" borderId="18" xfId="0" applyFont="1" applyBorder="1" applyAlignment="1" applyProtection="1">
      <alignment horizontal="center" vertical="top" wrapText="1"/>
      <protection locked="0" hidden="1"/>
    </xf>
    <xf numFmtId="164" fontId="22" fillId="8" borderId="9" xfId="0" applyNumberFormat="1" applyFont="1" applyFill="1" applyBorder="1" applyAlignment="1">
      <alignment horizontal="center" vertical="top"/>
    </xf>
    <xf numFmtId="0" fontId="19" fillId="0" borderId="11" xfId="0" applyFont="1" applyBorder="1" applyAlignment="1">
      <alignment vertical="center" wrapText="1"/>
    </xf>
    <xf numFmtId="0" fontId="19" fillId="0" borderId="8" xfId="0" applyFont="1" applyBorder="1" applyAlignment="1">
      <alignment vertical="center" wrapText="1"/>
    </xf>
    <xf numFmtId="0" fontId="30" fillId="0" borderId="11" xfId="0" applyFont="1" applyBorder="1" applyAlignment="1">
      <alignment horizontal="left" vertical="top" wrapText="1"/>
    </xf>
    <xf numFmtId="0" fontId="30" fillId="0" borderId="8" xfId="0" applyFont="1" applyBorder="1" applyAlignment="1">
      <alignment horizontal="left" vertical="top" wrapText="1"/>
    </xf>
    <xf numFmtId="0" fontId="29" fillId="0" borderId="12" xfId="0" applyFont="1" applyBorder="1" applyAlignment="1">
      <alignment horizontal="left" vertical="top" wrapText="1"/>
    </xf>
    <xf numFmtId="0" fontId="29" fillId="0" borderId="10" xfId="0" applyFont="1" applyBorder="1" applyAlignment="1">
      <alignment horizontal="left" vertical="top" wrapText="1"/>
    </xf>
    <xf numFmtId="0" fontId="30" fillId="0" borderId="3" xfId="0" applyFont="1" applyBorder="1" applyAlignment="1">
      <alignment horizontal="left" vertical="top" wrapText="1"/>
    </xf>
    <xf numFmtId="0" fontId="30" fillId="0" borderId="9" xfId="0" applyFont="1" applyBorder="1" applyAlignment="1">
      <alignment horizontal="left" vertical="top" wrapText="1"/>
    </xf>
    <xf numFmtId="0" fontId="23" fillId="0" borderId="15" xfId="0" applyFont="1" applyBorder="1" applyAlignment="1" applyProtection="1">
      <alignment horizontal="center" vertical="top" wrapText="1"/>
      <protection locked="0" hidden="1"/>
    </xf>
    <xf numFmtId="165" fontId="23" fillId="0" borderId="51" xfId="0" applyNumberFormat="1" applyFont="1" applyBorder="1" applyAlignment="1" applyProtection="1">
      <alignment horizontal="center" vertical="top" wrapText="1"/>
      <protection hidden="1"/>
    </xf>
    <xf numFmtId="0" fontId="19" fillId="0" borderId="25" xfId="0" applyFont="1" applyBorder="1" applyAlignment="1">
      <alignment vertical="center" wrapText="1"/>
    </xf>
    <xf numFmtId="0" fontId="30" fillId="0" borderId="25" xfId="0" applyFont="1" applyBorder="1" applyAlignment="1">
      <alignment horizontal="left" vertical="top" wrapText="1"/>
    </xf>
    <xf numFmtId="0" fontId="23" fillId="0" borderId="48" xfId="0" applyFont="1" applyBorder="1" applyAlignment="1" applyProtection="1">
      <alignment horizontal="center" vertical="top" wrapText="1"/>
      <protection locked="0" hidden="1"/>
    </xf>
    <xf numFmtId="0" fontId="18" fillId="8" borderId="52" xfId="0" applyFont="1" applyFill="1" applyBorder="1" applyAlignment="1">
      <alignment horizontal="center" vertical="center"/>
    </xf>
    <xf numFmtId="0" fontId="29" fillId="0" borderId="45" xfId="0" applyFont="1" applyBorder="1" applyAlignment="1">
      <alignment horizontal="left" vertical="top" wrapText="1"/>
    </xf>
    <xf numFmtId="0" fontId="30" fillId="0" borderId="51" xfId="0" applyFont="1" applyBorder="1" applyAlignment="1">
      <alignment horizontal="left" vertical="top" wrapText="1"/>
    </xf>
    <xf numFmtId="0" fontId="13" fillId="8" borderId="45" xfId="0" applyFont="1" applyFill="1" applyBorder="1" applyAlignment="1">
      <alignment horizontal="center" vertical="center" textRotation="90"/>
    </xf>
    <xf numFmtId="0" fontId="13" fillId="8" borderId="10" xfId="0" applyFont="1" applyFill="1" applyBorder="1" applyAlignment="1">
      <alignment horizontal="center" vertical="center" textRotation="90"/>
    </xf>
    <xf numFmtId="0" fontId="13" fillId="13" borderId="44" xfId="0" applyFont="1" applyFill="1" applyBorder="1" applyAlignment="1">
      <alignment horizontal="center" vertical="center"/>
    </xf>
    <xf numFmtId="0" fontId="13" fillId="13" borderId="43" xfId="0" applyFont="1" applyFill="1" applyBorder="1" applyAlignment="1">
      <alignment horizontal="center" vertical="center"/>
    </xf>
    <xf numFmtId="0" fontId="13" fillId="12" borderId="50" xfId="0" applyFont="1" applyFill="1" applyBorder="1" applyAlignment="1">
      <alignment horizontal="center" vertical="center"/>
    </xf>
    <xf numFmtId="0" fontId="13" fillId="12" borderId="43" xfId="0" applyFont="1" applyFill="1" applyBorder="1" applyAlignment="1">
      <alignment horizontal="center" vertical="center"/>
    </xf>
    <xf numFmtId="0" fontId="13" fillId="12" borderId="42" xfId="0" applyFont="1" applyFill="1" applyBorder="1" applyAlignment="1">
      <alignment horizontal="center" vertical="center"/>
    </xf>
    <xf numFmtId="0" fontId="18" fillId="8" borderId="49" xfId="0" applyFont="1" applyFill="1" applyBorder="1" applyAlignment="1">
      <alignment horizontal="center" vertical="center" wrapText="1"/>
    </xf>
    <xf numFmtId="0" fontId="18" fillId="8" borderId="1" xfId="0" applyFont="1" applyFill="1" applyBorder="1" applyAlignment="1">
      <alignment horizontal="center" vertical="center" wrapText="1"/>
    </xf>
    <xf numFmtId="0" fontId="18" fillId="8" borderId="59" xfId="0" applyFont="1" applyFill="1" applyBorder="1" applyAlignment="1">
      <alignment horizontal="center" vertical="center" wrapText="1"/>
    </xf>
    <xf numFmtId="0" fontId="18" fillId="8" borderId="38" xfId="0" applyFont="1" applyFill="1" applyBorder="1" applyAlignment="1">
      <alignment horizontal="center" vertical="center"/>
    </xf>
    <xf numFmtId="0" fontId="18" fillId="8" borderId="15" xfId="0" applyFont="1" applyFill="1" applyBorder="1" applyAlignment="1">
      <alignment horizontal="center" vertical="center"/>
    </xf>
    <xf numFmtId="0" fontId="59" fillId="0" borderId="13" xfId="3" applyFont="1" applyFill="1" applyBorder="1" applyAlignment="1">
      <alignment vertical="top" wrapText="1"/>
    </xf>
    <xf numFmtId="0" fontId="58" fillId="0" borderId="11" xfId="3" applyFont="1" applyFill="1" applyBorder="1" applyAlignment="1">
      <alignment vertical="top" wrapText="1"/>
    </xf>
    <xf numFmtId="0" fontId="22" fillId="0" borderId="36" xfId="0" applyFont="1" applyBorder="1" applyAlignment="1">
      <alignment horizontal="left" vertical="top" wrapText="1"/>
    </xf>
    <xf numFmtId="0" fontId="22" fillId="0" borderId="32" xfId="0" applyFont="1" applyBorder="1" applyAlignment="1">
      <alignment horizontal="left" vertical="top" wrapText="1"/>
    </xf>
    <xf numFmtId="0" fontId="22" fillId="0" borderId="21" xfId="0" applyFont="1" applyBorder="1" applyAlignment="1">
      <alignment horizontal="left" vertical="top" wrapText="1"/>
    </xf>
    <xf numFmtId="0" fontId="19" fillId="0" borderId="31" xfId="0" applyFont="1" applyBorder="1" applyAlignment="1">
      <alignment horizontal="left" vertical="top" wrapText="1"/>
    </xf>
    <xf numFmtId="0" fontId="19" fillId="0" borderId="14" xfId="0" applyFont="1" applyBorder="1" applyAlignment="1">
      <alignment horizontal="left" vertical="top" wrapText="1"/>
    </xf>
    <xf numFmtId="0" fontId="19" fillId="0" borderId="2" xfId="0" applyFont="1" applyBorder="1" applyAlignment="1">
      <alignment horizontal="left" vertical="top" wrapText="1"/>
    </xf>
    <xf numFmtId="0" fontId="19" fillId="0" borderId="23" xfId="0" applyFont="1" applyBorder="1" applyAlignment="1">
      <alignment horizontal="left" vertical="top" wrapText="1"/>
    </xf>
    <xf numFmtId="0" fontId="23" fillId="0" borderId="12" xfId="0" applyFont="1" applyBorder="1" applyAlignment="1" applyProtection="1">
      <alignment horizontal="center" vertical="top" wrapText="1"/>
      <protection locked="0" hidden="1"/>
    </xf>
    <xf numFmtId="164" fontId="22" fillId="8" borderId="31" xfId="0" applyNumberFormat="1" applyFont="1" applyFill="1" applyBorder="1" applyAlignment="1">
      <alignment horizontal="center" vertical="top"/>
    </xf>
    <xf numFmtId="164" fontId="22" fillId="8" borderId="14" xfId="0" applyNumberFormat="1" applyFont="1" applyFill="1" applyBorder="1" applyAlignment="1">
      <alignment horizontal="center" vertical="top"/>
    </xf>
    <xf numFmtId="0" fontId="22" fillId="0" borderId="47" xfId="0" applyFont="1" applyBorder="1" applyAlignment="1">
      <alignment horizontal="left" vertical="top" wrapText="1"/>
    </xf>
    <xf numFmtId="0" fontId="22" fillId="0" borderId="2" xfId="0" applyFont="1" applyBorder="1" applyAlignment="1">
      <alignment horizontal="left" vertical="top" wrapText="1"/>
    </xf>
    <xf numFmtId="0" fontId="22" fillId="0" borderId="23" xfId="0" applyFont="1" applyBorder="1" applyAlignment="1">
      <alignment horizontal="left" vertical="top" wrapText="1"/>
    </xf>
    <xf numFmtId="0" fontId="13" fillId="13" borderId="50" xfId="0" applyFont="1" applyFill="1" applyBorder="1" applyAlignment="1">
      <alignment horizontal="center" vertical="center"/>
    </xf>
    <xf numFmtId="0" fontId="13" fillId="13" borderId="42" xfId="0" applyFont="1" applyFill="1" applyBorder="1" applyAlignment="1">
      <alignment horizontal="center" vertical="center"/>
    </xf>
    <xf numFmtId="0" fontId="22" fillId="0" borderId="34" xfId="0" applyFont="1" applyBorder="1" applyAlignment="1">
      <alignment horizontal="center" vertical="top" wrapText="1"/>
    </xf>
    <xf numFmtId="0" fontId="22" fillId="0" borderId="31" xfId="0" applyFont="1" applyBorder="1" applyAlignment="1">
      <alignment horizontal="center" vertical="top" wrapText="1"/>
    </xf>
    <xf numFmtId="0" fontId="22" fillId="0" borderId="14" xfId="0" applyFont="1" applyBorder="1" applyAlignment="1">
      <alignment horizontal="center" vertical="top" wrapText="1"/>
    </xf>
    <xf numFmtId="0" fontId="22" fillId="0" borderId="35" xfId="0" applyFont="1" applyBorder="1" applyAlignment="1">
      <alignment horizontal="center" vertical="top" wrapText="1"/>
    </xf>
    <xf numFmtId="0" fontId="22" fillId="0" borderId="33" xfId="0" applyFont="1" applyBorder="1" applyAlignment="1">
      <alignment horizontal="center" vertical="top" wrapText="1"/>
    </xf>
    <xf numFmtId="0" fontId="22" fillId="0" borderId="13" xfId="0" applyFont="1" applyBorder="1" applyAlignment="1">
      <alignment horizontal="center" vertical="top" wrapText="1"/>
    </xf>
    <xf numFmtId="0" fontId="23" fillId="0" borderId="15" xfId="0" applyFont="1" applyBorder="1" applyAlignment="1" applyProtection="1">
      <alignment horizontal="center" vertical="center" wrapText="1"/>
      <protection locked="0" hidden="1"/>
    </xf>
    <xf numFmtId="0" fontId="23" fillId="0" borderId="12" xfId="0" applyFont="1" applyBorder="1" applyAlignment="1" applyProtection="1">
      <alignment horizontal="center" vertical="center" wrapText="1"/>
      <protection locked="0" hidden="1"/>
    </xf>
    <xf numFmtId="165" fontId="23" fillId="0" borderId="34" xfId="0" applyNumberFormat="1" applyFont="1" applyBorder="1" applyAlignment="1" applyProtection="1">
      <alignment horizontal="center" vertical="center" wrapText="1"/>
      <protection hidden="1"/>
    </xf>
    <xf numFmtId="165" fontId="23" fillId="0" borderId="31" xfId="0" applyNumberFormat="1" applyFont="1" applyBorder="1" applyAlignment="1" applyProtection="1">
      <alignment horizontal="center" vertical="center" wrapText="1"/>
      <protection hidden="1"/>
    </xf>
    <xf numFmtId="164" fontId="22" fillId="0" borderId="14" xfId="0" applyNumberFormat="1" applyFont="1" applyBorder="1" applyAlignment="1">
      <alignment horizontal="center" vertical="center"/>
    </xf>
    <xf numFmtId="164" fontId="22" fillId="0" borderId="3" xfId="0" applyNumberFormat="1" applyFont="1" applyBorder="1" applyAlignment="1">
      <alignment horizontal="center" vertical="center"/>
    </xf>
    <xf numFmtId="9" fontId="22" fillId="0" borderId="34" xfId="0" applyNumberFormat="1" applyFont="1" applyBorder="1" applyAlignment="1">
      <alignment horizontal="center" vertical="center"/>
    </xf>
    <xf numFmtId="9" fontId="22" fillId="0" borderId="31" xfId="0" applyNumberFormat="1" applyFont="1" applyBorder="1" applyAlignment="1">
      <alignment horizontal="center" vertical="center"/>
    </xf>
    <xf numFmtId="9" fontId="22" fillId="0" borderId="14" xfId="0" applyNumberFormat="1" applyFont="1" applyBorder="1" applyAlignment="1">
      <alignment horizontal="center" vertical="center"/>
    </xf>
    <xf numFmtId="0" fontId="18" fillId="8" borderId="38" xfId="0" applyFont="1" applyFill="1" applyBorder="1" applyAlignment="1">
      <alignment horizontal="center" vertical="center" wrapText="1"/>
    </xf>
    <xf numFmtId="0" fontId="18" fillId="8" borderId="15" xfId="0" applyFont="1" applyFill="1" applyBorder="1" applyAlignment="1">
      <alignment horizontal="center" vertical="center" wrapText="1"/>
    </xf>
    <xf numFmtId="9" fontId="22" fillId="0" borderId="3" xfId="0" applyNumberFormat="1" applyFont="1" applyBorder="1" applyAlignment="1">
      <alignment horizontal="center" vertical="center"/>
    </xf>
    <xf numFmtId="0" fontId="19" fillId="0" borderId="13" xfId="0" applyFont="1" applyBorder="1" applyAlignment="1">
      <alignment vertical="center" wrapText="1"/>
    </xf>
    <xf numFmtId="0" fontId="47" fillId="19" borderId="11" xfId="0" applyFont="1" applyFill="1" applyBorder="1" applyAlignment="1">
      <alignment vertical="center" wrapText="1"/>
    </xf>
    <xf numFmtId="0" fontId="47" fillId="19" borderId="35" xfId="0" applyFont="1" applyFill="1" applyBorder="1" applyAlignment="1">
      <alignment vertical="center" wrapText="1"/>
    </xf>
    <xf numFmtId="0" fontId="22" fillId="0" borderId="35" xfId="0" applyFont="1" applyBorder="1" applyAlignment="1">
      <alignment vertical="center" wrapText="1"/>
    </xf>
    <xf numFmtId="0" fontId="22" fillId="0" borderId="13" xfId="0" applyFont="1" applyBorder="1" applyAlignment="1">
      <alignment vertical="center" wrapText="1"/>
    </xf>
    <xf numFmtId="0" fontId="22" fillId="0" borderId="3" xfId="0" applyFont="1" applyBorder="1" applyAlignment="1">
      <alignment horizontal="left" vertical="center" wrapText="1"/>
    </xf>
    <xf numFmtId="0" fontId="22" fillId="0" borderId="34" xfId="0" applyFont="1" applyBorder="1" applyAlignment="1">
      <alignment horizontal="left" vertical="center" wrapText="1"/>
    </xf>
    <xf numFmtId="0" fontId="22" fillId="18" borderId="13" xfId="0" applyFont="1" applyFill="1" applyBorder="1" applyAlignment="1">
      <alignment vertical="top" wrapText="1"/>
    </xf>
    <xf numFmtId="0" fontId="22" fillId="18" borderId="11" xfId="0" applyFont="1" applyFill="1" applyBorder="1" applyAlignment="1">
      <alignment vertical="top" wrapText="1"/>
    </xf>
    <xf numFmtId="0" fontId="22" fillId="20" borderId="11" xfId="0" applyFont="1" applyFill="1" applyBorder="1" applyAlignment="1">
      <alignment vertical="top" wrapText="1"/>
    </xf>
    <xf numFmtId="0" fontId="22" fillId="20" borderId="35" xfId="0" applyFont="1" applyFill="1" applyBorder="1" applyAlignment="1">
      <alignment vertical="top" wrapText="1"/>
    </xf>
    <xf numFmtId="0" fontId="22" fillId="18" borderId="11" xfId="0" applyFont="1" applyFill="1" applyBorder="1" applyAlignment="1">
      <alignment vertical="center" wrapText="1"/>
    </xf>
    <xf numFmtId="0" fontId="22" fillId="18" borderId="35" xfId="0" applyFont="1" applyFill="1" applyBorder="1" applyAlignment="1">
      <alignment vertical="center" wrapText="1"/>
    </xf>
    <xf numFmtId="0" fontId="19" fillId="0" borderId="38" xfId="0" applyFont="1" applyBorder="1" applyAlignment="1">
      <alignment horizontal="left" vertical="top" wrapText="1"/>
    </xf>
    <xf numFmtId="0" fontId="19" fillId="0" borderId="15" xfId="0" applyFont="1" applyBorder="1" applyAlignment="1">
      <alignment horizontal="left" vertical="top" wrapText="1"/>
    </xf>
    <xf numFmtId="0" fontId="23" fillId="0" borderId="38" xfId="0" applyFont="1" applyBorder="1" applyAlignment="1" applyProtection="1">
      <alignment horizontal="center" vertical="center" wrapText="1"/>
      <protection locked="0" hidden="1"/>
    </xf>
    <xf numFmtId="0" fontId="44" fillId="19" borderId="11" xfId="2" applyFont="1" applyFill="1" applyBorder="1" applyAlignment="1">
      <alignment vertical="center" wrapText="1"/>
    </xf>
    <xf numFmtId="0" fontId="44" fillId="19" borderId="35" xfId="2" applyFont="1" applyFill="1" applyBorder="1" applyAlignment="1">
      <alignment vertical="center" wrapText="1"/>
    </xf>
    <xf numFmtId="0" fontId="36" fillId="19" borderId="11" xfId="2" applyFont="1" applyFill="1" applyBorder="1" applyAlignment="1">
      <alignment vertical="center" wrapText="1"/>
    </xf>
    <xf numFmtId="0" fontId="36" fillId="19" borderId="35" xfId="2" applyFont="1" applyFill="1" applyBorder="1" applyAlignment="1">
      <alignment vertical="center" wrapText="1"/>
    </xf>
    <xf numFmtId="0" fontId="35" fillId="0" borderId="11" xfId="2" applyFill="1" applyBorder="1" applyAlignment="1">
      <alignment vertical="center" wrapText="1"/>
    </xf>
    <xf numFmtId="0" fontId="35" fillId="0" borderId="35" xfId="2" applyFill="1" applyBorder="1" applyAlignment="1">
      <alignment vertical="center" wrapText="1"/>
    </xf>
    <xf numFmtId="0" fontId="22" fillId="0" borderId="33" xfId="0" applyFont="1" applyBorder="1" applyAlignment="1">
      <alignment vertical="top" wrapText="1"/>
    </xf>
    <xf numFmtId="164" fontId="23" fillId="0" borderId="34" xfId="1" applyNumberFormat="1" applyFont="1" applyBorder="1" applyAlignment="1" applyProtection="1">
      <alignment horizontal="center" vertical="top" wrapText="1"/>
      <protection hidden="1"/>
    </xf>
    <xf numFmtId="164" fontId="23" fillId="0" borderId="31" xfId="1" applyNumberFormat="1" applyFont="1" applyBorder="1" applyAlignment="1" applyProtection="1">
      <alignment horizontal="center" vertical="top" wrapText="1"/>
      <protection hidden="1"/>
    </xf>
    <xf numFmtId="164" fontId="23" fillId="0" borderId="14" xfId="1" applyNumberFormat="1" applyFont="1" applyBorder="1" applyAlignment="1" applyProtection="1">
      <alignment horizontal="center" vertical="top" wrapText="1"/>
      <protection hidden="1"/>
    </xf>
    <xf numFmtId="164" fontId="22" fillId="0" borderId="34" xfId="1" applyNumberFormat="1" applyFont="1" applyBorder="1" applyAlignment="1">
      <alignment horizontal="center" vertical="top"/>
    </xf>
    <xf numFmtId="164" fontId="22" fillId="0" borderId="31" xfId="1" applyNumberFormat="1" applyFont="1" applyBorder="1" applyAlignment="1">
      <alignment horizontal="center" vertical="top"/>
    </xf>
    <xf numFmtId="164" fontId="22" fillId="0" borderId="14" xfId="1" applyNumberFormat="1" applyFont="1" applyBorder="1" applyAlignment="1">
      <alignment horizontal="center" vertical="top"/>
    </xf>
    <xf numFmtId="0" fontId="18" fillId="8" borderId="57" xfId="0" applyFont="1" applyFill="1" applyBorder="1" applyAlignment="1">
      <alignment horizontal="center" vertical="center"/>
    </xf>
    <xf numFmtId="0" fontId="18" fillId="8" borderId="37" xfId="0" applyFont="1" applyFill="1" applyBorder="1" applyAlignment="1">
      <alignment horizontal="left" vertical="center" wrapText="1"/>
    </xf>
    <xf numFmtId="0" fontId="18" fillId="8" borderId="38" xfId="0" applyFont="1" applyFill="1" applyBorder="1" applyAlignment="1">
      <alignment horizontal="left" vertical="center" wrapText="1"/>
    </xf>
    <xf numFmtId="0" fontId="18" fillId="8" borderId="15" xfId="0" applyFont="1" applyFill="1" applyBorder="1" applyAlignment="1">
      <alignment horizontal="left" vertical="center" wrapText="1"/>
    </xf>
    <xf numFmtId="0" fontId="19" fillId="0" borderId="33" xfId="0" applyFont="1" applyBorder="1" applyAlignment="1">
      <alignment vertical="top" wrapText="1"/>
    </xf>
    <xf numFmtId="0" fontId="19" fillId="0" borderId="13" xfId="0" applyFont="1" applyBorder="1" applyAlignment="1">
      <alignment vertical="top" wrapText="1"/>
    </xf>
    <xf numFmtId="0" fontId="32" fillId="0" borderId="34" xfId="0" applyFont="1" applyBorder="1" applyAlignment="1">
      <alignment horizontal="left" vertical="top" wrapText="1"/>
    </xf>
    <xf numFmtId="0" fontId="32" fillId="0" borderId="31" xfId="0" applyFont="1" applyBorder="1" applyAlignment="1">
      <alignment horizontal="left" vertical="top" wrapText="1"/>
    </xf>
    <xf numFmtId="0" fontId="13" fillId="12" borderId="59" xfId="0" applyFont="1" applyFill="1" applyBorder="1" applyAlignment="1">
      <alignment horizontal="center" vertical="center"/>
    </xf>
    <xf numFmtId="0" fontId="13" fillId="12" borderId="22" xfId="0" applyFont="1" applyFill="1" applyBorder="1" applyAlignment="1">
      <alignment horizontal="center" vertical="center"/>
    </xf>
    <xf numFmtId="0" fontId="13" fillId="12" borderId="91" xfId="0" applyFont="1" applyFill="1" applyBorder="1" applyAlignment="1">
      <alignment horizontal="center" vertical="center"/>
    </xf>
    <xf numFmtId="0" fontId="22" fillId="0" borderId="29" xfId="0" applyFont="1" applyBorder="1" applyAlignment="1">
      <alignment vertical="top" wrapText="1"/>
    </xf>
    <xf numFmtId="0" fontId="18" fillId="8" borderId="48" xfId="0" applyFont="1" applyFill="1" applyBorder="1" applyAlignment="1">
      <alignment horizontal="left" vertical="center" wrapText="1"/>
    </xf>
    <xf numFmtId="0" fontId="13" fillId="14" borderId="41" xfId="0" applyFont="1" applyFill="1" applyBorder="1" applyAlignment="1">
      <alignment horizontal="center" vertical="center" wrapText="1"/>
    </xf>
    <xf numFmtId="0" fontId="13" fillId="14" borderId="20" xfId="0" applyFont="1" applyFill="1" applyBorder="1" applyAlignment="1">
      <alignment horizontal="center" vertical="center" wrapText="1"/>
    </xf>
    <xf numFmtId="0" fontId="78" fillId="18" borderId="46" xfId="0" applyFont="1" applyFill="1" applyBorder="1" applyAlignment="1">
      <alignment horizontal="center" vertical="top" wrapText="1"/>
    </xf>
    <xf numFmtId="0" fontId="78" fillId="18" borderId="92" xfId="0" applyFont="1" applyFill="1" applyBorder="1" applyAlignment="1">
      <alignment horizontal="center" vertical="top" wrapText="1"/>
    </xf>
    <xf numFmtId="0" fontId="78" fillId="18" borderId="24" xfId="0" applyFont="1" applyFill="1" applyBorder="1" applyAlignment="1">
      <alignment horizontal="center" vertical="top" wrapText="1"/>
    </xf>
    <xf numFmtId="1" fontId="27" fillId="8" borderId="40" xfId="0" applyNumberFormat="1" applyFont="1" applyFill="1" applyBorder="1" applyAlignment="1">
      <alignment horizontal="center" vertical="center" wrapText="1"/>
    </xf>
    <xf numFmtId="1" fontId="27" fillId="8" borderId="20" xfId="0" applyNumberFormat="1" applyFont="1" applyFill="1" applyBorder="1" applyAlignment="1">
      <alignment horizontal="center" vertical="center" wrapText="1"/>
    </xf>
    <xf numFmtId="164" fontId="23" fillId="0" borderId="39" xfId="1" applyNumberFormat="1" applyFont="1" applyBorder="1" applyAlignment="1" applyProtection="1">
      <alignment horizontal="center" vertical="top" wrapText="1"/>
      <protection hidden="1"/>
    </xf>
    <xf numFmtId="164" fontId="22" fillId="0" borderId="39" xfId="1" applyNumberFormat="1" applyFont="1" applyBorder="1" applyAlignment="1">
      <alignment horizontal="center" vertical="top"/>
    </xf>
    <xf numFmtId="0" fontId="23" fillId="0" borderId="45" xfId="0" applyFont="1" applyBorder="1" applyAlignment="1" applyProtection="1">
      <alignment horizontal="center" vertical="top" wrapText="1"/>
      <protection locked="0" hidden="1"/>
    </xf>
    <xf numFmtId="0" fontId="19" fillId="0" borderId="46" xfId="0" applyFont="1" applyBorder="1" applyAlignment="1">
      <alignment horizontal="left" vertical="top" wrapText="1"/>
    </xf>
    <xf numFmtId="0" fontId="18" fillId="8" borderId="12" xfId="0" applyFont="1" applyFill="1" applyBorder="1" applyAlignment="1">
      <alignment horizontal="center" vertical="center" wrapText="1"/>
    </xf>
    <xf numFmtId="10" fontId="22" fillId="0" borderId="51" xfId="0" applyNumberFormat="1" applyFont="1" applyBorder="1" applyAlignment="1">
      <alignment horizontal="center" vertical="top"/>
    </xf>
    <xf numFmtId="10" fontId="22" fillId="0" borderId="3" xfId="0" applyNumberFormat="1" applyFont="1" applyBorder="1" applyAlignment="1">
      <alignment horizontal="center" vertical="top"/>
    </xf>
    <xf numFmtId="0" fontId="19" fillId="0" borderId="3" xfId="0" applyFont="1" applyBorder="1" applyAlignment="1">
      <alignment horizontal="center" vertical="top" wrapText="1"/>
    </xf>
    <xf numFmtId="10" fontId="22" fillId="8" borderId="51" xfId="0" applyNumberFormat="1" applyFont="1" applyFill="1" applyBorder="1" applyAlignment="1">
      <alignment horizontal="center" vertical="top"/>
    </xf>
    <xf numFmtId="0" fontId="18" fillId="8" borderId="45" xfId="0" applyFont="1" applyFill="1" applyBorder="1" applyAlignment="1">
      <alignment horizontal="center" vertical="center" wrapText="1"/>
    </xf>
    <xf numFmtId="0" fontId="22" fillId="0" borderId="51" xfId="0" applyFont="1" applyBorder="1" applyAlignment="1">
      <alignment horizontal="left" vertical="top" wrapText="1"/>
    </xf>
    <xf numFmtId="0" fontId="22" fillId="0" borderId="25" xfId="0" applyFont="1" applyBorder="1" applyAlignment="1">
      <alignment horizontal="left" vertical="top" wrapText="1"/>
    </xf>
    <xf numFmtId="0" fontId="22" fillId="0" borderId="66" xfId="0" applyFont="1" applyBorder="1" applyAlignment="1">
      <alignment horizontal="left" vertical="top" wrapText="1"/>
    </xf>
    <xf numFmtId="0" fontId="22" fillId="0" borderId="24" xfId="0" applyFont="1" applyBorder="1" applyAlignment="1">
      <alignment horizontal="left" vertical="top" wrapText="1"/>
    </xf>
    <xf numFmtId="0" fontId="34" fillId="0" borderId="11" xfId="3" applyFont="1" applyFill="1" applyBorder="1" applyAlignment="1">
      <alignment vertical="top" wrapText="1"/>
    </xf>
    <xf numFmtId="0" fontId="34" fillId="0" borderId="11" xfId="3" applyFont="1" applyFill="1" applyBorder="1" applyAlignment="1">
      <alignment horizontal="left" vertical="top" wrapText="1"/>
    </xf>
    <xf numFmtId="0" fontId="19" fillId="0" borderId="24" xfId="0" applyFont="1" applyBorder="1" applyAlignment="1">
      <alignment horizontal="left" vertical="top" wrapText="1"/>
    </xf>
    <xf numFmtId="0" fontId="19" fillId="0" borderId="3" xfId="0" applyFont="1" applyBorder="1" applyAlignment="1">
      <alignment horizontal="left" vertical="top" wrapText="1"/>
    </xf>
    <xf numFmtId="0" fontId="19" fillId="0" borderId="24" xfId="0" applyFont="1" applyBorder="1" applyAlignment="1">
      <alignment horizontal="center" vertical="top" wrapText="1"/>
    </xf>
    <xf numFmtId="0" fontId="24" fillId="0" borderId="24" xfId="0" applyFont="1" applyBorder="1" applyAlignment="1">
      <alignment horizontal="left" vertical="top" wrapText="1"/>
    </xf>
    <xf numFmtId="0" fontId="22" fillId="0" borderId="24" xfId="0" applyFont="1" applyBorder="1" applyAlignment="1">
      <alignment horizontal="center" vertical="top" wrapText="1"/>
    </xf>
    <xf numFmtId="0" fontId="32" fillId="0" borderId="3" xfId="0" applyFont="1" applyBorder="1" applyAlignment="1">
      <alignment horizontal="left" vertical="top" wrapText="1"/>
    </xf>
    <xf numFmtId="0" fontId="18" fillId="8" borderId="12" xfId="0" applyFont="1" applyFill="1" applyBorder="1" applyAlignment="1">
      <alignment horizontal="center" vertical="top" wrapText="1"/>
    </xf>
    <xf numFmtId="0" fontId="18" fillId="8" borderId="60" xfId="0" applyFont="1" applyFill="1" applyBorder="1" applyAlignment="1">
      <alignment horizontal="center" vertical="top"/>
    </xf>
    <xf numFmtId="0" fontId="24" fillId="0" borderId="24" xfId="0" applyFont="1" applyBorder="1" applyAlignment="1">
      <alignment horizontal="center" vertical="top" wrapText="1"/>
    </xf>
    <xf numFmtId="0" fontId="22" fillId="0" borderId="3" xfId="0" applyFont="1" applyBorder="1" applyAlignment="1">
      <alignment horizontal="center" vertical="top" wrapText="1"/>
    </xf>
    <xf numFmtId="0" fontId="22" fillId="0" borderId="46" xfId="0" applyFont="1" applyBorder="1" applyAlignment="1">
      <alignment horizontal="center" vertical="top" wrapText="1"/>
    </xf>
    <xf numFmtId="0" fontId="19" fillId="0" borderId="46" xfId="0" applyFont="1" applyBorder="1" applyAlignment="1">
      <alignment horizontal="center" vertical="top" wrapText="1"/>
    </xf>
    <xf numFmtId="0" fontId="22" fillId="0" borderId="11" xfId="0" applyFont="1" applyBorder="1" applyAlignment="1">
      <alignment horizontal="center" vertical="top" wrapText="1"/>
    </xf>
    <xf numFmtId="0" fontId="18" fillId="8" borderId="12" xfId="0" applyFont="1" applyFill="1" applyBorder="1" applyAlignment="1">
      <alignment horizontal="center" vertical="center"/>
    </xf>
    <xf numFmtId="0" fontId="77" fillId="0" borderId="3" xfId="0" applyFont="1" applyBorder="1" applyAlignment="1">
      <alignment horizontal="left" vertical="top" wrapText="1"/>
    </xf>
    <xf numFmtId="0" fontId="34" fillId="0" borderId="25" xfId="3" applyFont="1" applyFill="1" applyBorder="1" applyAlignment="1">
      <alignment vertical="top" wrapText="1"/>
    </xf>
    <xf numFmtId="0" fontId="18" fillId="8" borderId="10" xfId="0" applyFont="1" applyFill="1" applyBorder="1" applyAlignment="1">
      <alignment horizontal="center" vertical="center" wrapText="1"/>
    </xf>
    <xf numFmtId="0" fontId="23" fillId="0" borderId="10" xfId="0" applyFont="1" applyBorder="1" applyAlignment="1" applyProtection="1">
      <alignment horizontal="center" vertical="top" wrapText="1"/>
      <protection locked="0" hidden="1"/>
    </xf>
    <xf numFmtId="10" fontId="22" fillId="0" borderId="9" xfId="0" applyNumberFormat="1" applyFont="1" applyBorder="1" applyAlignment="1">
      <alignment horizontal="center" vertical="top"/>
    </xf>
    <xf numFmtId="0" fontId="18" fillId="8" borderId="37" xfId="0" applyFont="1" applyFill="1" applyBorder="1" applyAlignment="1">
      <alignment horizontal="center" vertical="center" wrapText="1"/>
    </xf>
    <xf numFmtId="0" fontId="22" fillId="0" borderId="37" xfId="0" applyFont="1" applyBorder="1" applyAlignment="1">
      <alignment horizontal="center" vertical="top" wrapText="1"/>
    </xf>
    <xf numFmtId="0" fontId="22" fillId="0" borderId="38" xfId="0" applyFont="1" applyBorder="1" applyAlignment="1">
      <alignment horizontal="center" vertical="top" wrapText="1"/>
    </xf>
    <xf numFmtId="0" fontId="22" fillId="0" borderId="15" xfId="0" applyFont="1" applyBorder="1" applyAlignment="1">
      <alignment horizontal="center" vertical="top" wrapText="1"/>
    </xf>
    <xf numFmtId="0" fontId="50" fillId="0" borderId="13" xfId="3" applyFont="1" applyFill="1" applyBorder="1" applyAlignment="1">
      <alignment vertical="center" wrapText="1"/>
    </xf>
    <xf numFmtId="0" fontId="50" fillId="0" borderId="11" xfId="3" applyFont="1" applyFill="1" applyBorder="1" applyAlignment="1">
      <alignment vertical="center" wrapText="1"/>
    </xf>
    <xf numFmtId="0" fontId="13" fillId="8" borderId="45" xfId="0" applyFont="1" applyFill="1" applyBorder="1" applyAlignment="1">
      <alignment horizontal="center" vertical="top" textRotation="90"/>
    </xf>
    <xf numFmtId="0" fontId="13" fillId="8" borderId="10" xfId="0" applyFont="1" applyFill="1" applyBorder="1" applyAlignment="1">
      <alignment horizontal="center" vertical="top" textRotation="90"/>
    </xf>
    <xf numFmtId="0" fontId="13" fillId="13" borderId="44" xfId="0" applyFont="1" applyFill="1" applyBorder="1" applyAlignment="1">
      <alignment horizontal="center" vertical="top"/>
    </xf>
    <xf numFmtId="0" fontId="13" fillId="13" borderId="43" xfId="0" applyFont="1" applyFill="1" applyBorder="1" applyAlignment="1">
      <alignment horizontal="center" vertical="top"/>
    </xf>
    <xf numFmtId="0" fontId="13" fillId="12" borderId="50" xfId="0" applyFont="1" applyFill="1" applyBorder="1" applyAlignment="1">
      <alignment horizontal="center" vertical="top"/>
    </xf>
    <xf numFmtId="0" fontId="13" fillId="12" borderId="43" xfId="0" applyFont="1" applyFill="1" applyBorder="1" applyAlignment="1">
      <alignment horizontal="center" vertical="top"/>
    </xf>
    <xf numFmtId="0" fontId="30" fillId="0" borderId="23" xfId="0" applyFont="1" applyBorder="1" applyAlignment="1">
      <alignment horizontal="left" vertical="top" wrapText="1"/>
    </xf>
    <xf numFmtId="0" fontId="30" fillId="0" borderId="46" xfId="0" applyFont="1" applyBorder="1" applyAlignment="1">
      <alignment horizontal="left" vertical="top" wrapText="1"/>
    </xf>
    <xf numFmtId="164" fontId="22" fillId="8" borderId="31" xfId="1" applyNumberFormat="1" applyFont="1" applyFill="1" applyBorder="1" applyAlignment="1">
      <alignment horizontal="center" vertical="top"/>
    </xf>
    <xf numFmtId="164" fontId="22" fillId="8" borderId="14" xfId="1" applyNumberFormat="1" applyFont="1" applyFill="1" applyBorder="1" applyAlignment="1">
      <alignment horizontal="center" vertical="top"/>
    </xf>
    <xf numFmtId="0" fontId="18" fillId="8" borderId="38" xfId="0" applyFont="1" applyFill="1" applyBorder="1" applyAlignment="1">
      <alignment horizontal="center" vertical="top"/>
    </xf>
    <xf numFmtId="0" fontId="18" fillId="8" borderId="15" xfId="0" applyFont="1" applyFill="1" applyBorder="1" applyAlignment="1">
      <alignment horizontal="center" vertical="top"/>
    </xf>
    <xf numFmtId="0" fontId="22" fillId="0" borderId="23" xfId="0" applyFont="1" applyBorder="1" applyAlignment="1">
      <alignment vertical="top" wrapText="1"/>
    </xf>
    <xf numFmtId="0" fontId="22" fillId="0" borderId="46" xfId="0" applyFont="1" applyBorder="1" applyAlignment="1">
      <alignment vertical="top" wrapText="1"/>
    </xf>
    <xf numFmtId="0" fontId="29" fillId="0" borderId="15" xfId="0" applyFont="1" applyBorder="1" applyAlignment="1">
      <alignment horizontal="left" vertical="top" wrapText="1"/>
    </xf>
    <xf numFmtId="0" fontId="25" fillId="0" borderId="3" xfId="0" applyFont="1" applyBorder="1" applyAlignment="1">
      <alignment horizontal="left" vertical="top" wrapText="1"/>
    </xf>
    <xf numFmtId="164" fontId="22" fillId="8" borderId="34" xfId="1" applyNumberFormat="1" applyFont="1" applyFill="1" applyBorder="1" applyAlignment="1">
      <alignment horizontal="center" vertical="top"/>
    </xf>
    <xf numFmtId="0" fontId="32" fillId="0" borderId="46" xfId="0" applyFont="1" applyBorder="1" applyAlignment="1">
      <alignment horizontal="left" vertical="top" wrapText="1"/>
    </xf>
    <xf numFmtId="0" fontId="19" fillId="0" borderId="35" xfId="0" applyFont="1" applyBorder="1" applyAlignment="1">
      <alignment vertical="top" wrapText="1"/>
    </xf>
    <xf numFmtId="0" fontId="19" fillId="0" borderId="46" xfId="0" applyFont="1" applyBorder="1" applyAlignment="1">
      <alignment vertical="top" wrapText="1"/>
    </xf>
    <xf numFmtId="0" fontId="19" fillId="0" borderId="12" xfId="0" applyFont="1" applyBorder="1" applyAlignment="1">
      <alignment horizontal="left" vertical="top" wrapText="1"/>
    </xf>
    <xf numFmtId="0" fontId="22" fillId="18" borderId="46" xfId="0" applyFont="1" applyFill="1" applyBorder="1" applyAlignment="1">
      <alignment horizontal="left" vertical="top" wrapText="1"/>
    </xf>
    <xf numFmtId="0" fontId="22" fillId="18" borderId="3" xfId="0" applyFont="1" applyFill="1" applyBorder="1" applyAlignment="1">
      <alignment horizontal="left" vertical="top" wrapText="1"/>
    </xf>
    <xf numFmtId="0" fontId="18" fillId="8" borderId="37" xfId="0" applyFont="1" applyFill="1" applyBorder="1" applyAlignment="1">
      <alignment horizontal="center" vertical="top"/>
    </xf>
    <xf numFmtId="0" fontId="29" fillId="0" borderId="37" xfId="0" applyFont="1" applyBorder="1" applyAlignment="1">
      <alignment horizontal="left" vertical="top" wrapText="1"/>
    </xf>
    <xf numFmtId="0" fontId="29" fillId="0" borderId="38" xfId="0" applyFont="1" applyBorder="1" applyAlignment="1">
      <alignment horizontal="left" vertical="top" wrapText="1"/>
    </xf>
    <xf numFmtId="0" fontId="30" fillId="0" borderId="14" xfId="0" applyFont="1" applyBorder="1" applyAlignment="1">
      <alignment horizontal="left" vertical="top" wrapText="1"/>
    </xf>
    <xf numFmtId="0" fontId="19" fillId="0" borderId="11" xfId="0" applyFont="1" applyBorder="1" applyAlignment="1">
      <alignment vertical="top" wrapText="1"/>
    </xf>
    <xf numFmtId="0" fontId="22" fillId="0" borderId="47" xfId="0" applyFont="1" applyBorder="1" applyAlignment="1">
      <alignment vertical="top" wrapText="1"/>
    </xf>
    <xf numFmtId="0" fontId="18" fillId="8" borderId="34" xfId="0" applyFont="1" applyFill="1" applyBorder="1" applyAlignment="1">
      <alignment horizontal="center" vertical="center"/>
    </xf>
    <xf numFmtId="0" fontId="18" fillId="8" borderId="14" xfId="0" applyFont="1" applyFill="1" applyBorder="1" applyAlignment="1">
      <alignment horizontal="center" vertical="center"/>
    </xf>
    <xf numFmtId="0" fontId="22" fillId="0" borderId="3" xfId="0" applyFont="1" applyBorder="1" applyAlignment="1">
      <alignment vertical="top" wrapText="1"/>
    </xf>
    <xf numFmtId="0" fontId="18" fillId="8" borderId="3" xfId="0" applyFont="1" applyFill="1" applyBorder="1" applyAlignment="1">
      <alignment horizontal="center" vertical="center"/>
    </xf>
    <xf numFmtId="0" fontId="18" fillId="0" borderId="96" xfId="0" applyFont="1" applyBorder="1" applyAlignment="1">
      <alignment horizontal="center" vertical="center"/>
    </xf>
    <xf numFmtId="0" fontId="22" fillId="0" borderId="34" xfId="0" applyFont="1" applyBorder="1" applyAlignment="1">
      <alignment vertical="top" wrapText="1"/>
    </xf>
    <xf numFmtId="0" fontId="22" fillId="0" borderId="14" xfId="0" applyFont="1" applyBorder="1" applyAlignment="1">
      <alignment vertical="top" wrapText="1"/>
    </xf>
    <xf numFmtId="0" fontId="32" fillId="0" borderId="35" xfId="0" applyFont="1" applyBorder="1" applyAlignment="1">
      <alignment vertical="top" wrapText="1"/>
    </xf>
    <xf numFmtId="0" fontId="32" fillId="0" borderId="13" xfId="0" applyFont="1" applyBorder="1" applyAlignment="1">
      <alignment vertical="top" wrapText="1"/>
    </xf>
    <xf numFmtId="0" fontId="13" fillId="8" borderId="37" xfId="0" applyFont="1" applyFill="1" applyBorder="1" applyAlignment="1">
      <alignment horizontal="center" vertical="center" textRotation="90"/>
    </xf>
    <xf numFmtId="0" fontId="19" fillId="0" borderId="3" xfId="0" applyFont="1" applyBorder="1" applyAlignment="1">
      <alignment vertical="top" wrapText="1"/>
    </xf>
    <xf numFmtId="0" fontId="22" fillId="0" borderId="12" xfId="0" applyFont="1" applyBorder="1" applyAlignment="1" applyProtection="1">
      <alignment horizontal="center" vertical="top" wrapText="1"/>
      <protection locked="0" hidden="1"/>
    </xf>
    <xf numFmtId="165" fontId="22" fillId="0" borderId="3" xfId="0" applyNumberFormat="1" applyFont="1" applyBorder="1" applyAlignment="1" applyProtection="1">
      <alignment horizontal="center" vertical="top" wrapText="1"/>
      <protection hidden="1"/>
    </xf>
    <xf numFmtId="0" fontId="32" fillId="0" borderId="46" xfId="0" applyFont="1" applyBorder="1" applyAlignment="1">
      <alignment vertical="top" wrapText="1"/>
    </xf>
    <xf numFmtId="0" fontId="13" fillId="0" borderId="0" xfId="0" applyFont="1" applyAlignment="1">
      <alignment horizontal="center" vertical="center"/>
    </xf>
    <xf numFmtId="0" fontId="13" fillId="0" borderId="58" xfId="0" applyFont="1" applyBorder="1" applyAlignment="1">
      <alignment horizontal="center" vertical="center"/>
    </xf>
    <xf numFmtId="0" fontId="22" fillId="0" borderId="71" xfId="0" applyFont="1" applyBorder="1" applyAlignment="1">
      <alignment horizontal="left" vertical="top" wrapText="1"/>
    </xf>
    <xf numFmtId="0" fontId="22" fillId="0" borderId="77" xfId="0" applyFont="1" applyBorder="1" applyAlignment="1">
      <alignment vertical="top" wrapText="1"/>
    </xf>
    <xf numFmtId="0" fontId="19" fillId="0" borderId="67" xfId="0" applyFont="1" applyBorder="1" applyAlignment="1">
      <alignment horizontal="left" vertical="top" wrapText="1"/>
    </xf>
    <xf numFmtId="0" fontId="19" fillId="0" borderId="72" xfId="0" applyFont="1" applyBorder="1" applyAlignment="1">
      <alignment horizontal="left" vertical="top" wrapText="1"/>
    </xf>
    <xf numFmtId="0" fontId="23" fillId="0" borderId="80" xfId="0" applyFont="1" applyBorder="1" applyAlignment="1" applyProtection="1">
      <alignment horizontal="center" vertical="top" wrapText="1"/>
      <protection locked="0" hidden="1"/>
    </xf>
    <xf numFmtId="165" fontId="23" fillId="0" borderId="67" xfId="0" applyNumberFormat="1" applyFont="1" applyBorder="1" applyAlignment="1" applyProtection="1">
      <alignment horizontal="center" vertical="top" wrapText="1"/>
      <protection hidden="1"/>
    </xf>
    <xf numFmtId="10" fontId="22" fillId="0" borderId="67" xfId="0" applyNumberFormat="1" applyFont="1" applyBorder="1" applyAlignment="1">
      <alignment horizontal="center" vertical="top"/>
    </xf>
    <xf numFmtId="164" fontId="22" fillId="8" borderId="67" xfId="0" applyNumberFormat="1" applyFont="1" applyFill="1" applyBorder="1" applyAlignment="1">
      <alignment horizontal="center" vertical="top"/>
    </xf>
    <xf numFmtId="0" fontId="22" fillId="0" borderId="72" xfId="0" applyFont="1" applyBorder="1" applyAlignment="1">
      <alignment vertical="top" wrapText="1"/>
    </xf>
    <xf numFmtId="0" fontId="22" fillId="0" borderId="68" xfId="0" applyFont="1" applyBorder="1" applyAlignment="1">
      <alignment horizontal="left" vertical="top" wrapText="1"/>
    </xf>
    <xf numFmtId="0" fontId="22" fillId="0" borderId="76" xfId="0" applyFont="1" applyBorder="1" applyAlignment="1">
      <alignment vertical="top" wrapText="1"/>
    </xf>
    <xf numFmtId="0" fontId="19" fillId="0" borderId="69" xfId="0" applyFont="1" applyBorder="1" applyAlignment="1">
      <alignment horizontal="left" vertical="top" wrapText="1"/>
    </xf>
    <xf numFmtId="0" fontId="19" fillId="0" borderId="70" xfId="0" applyFont="1" applyBorder="1" applyAlignment="1">
      <alignment horizontal="left" vertical="top" wrapText="1"/>
    </xf>
    <xf numFmtId="0" fontId="23" fillId="0" borderId="79" xfId="0" applyFont="1" applyBorder="1" applyAlignment="1" applyProtection="1">
      <alignment horizontal="center" vertical="top" wrapText="1"/>
      <protection locked="0" hidden="1"/>
    </xf>
    <xf numFmtId="0" fontId="22" fillId="0" borderId="70" xfId="0" applyFont="1" applyBorder="1" applyAlignment="1">
      <alignment vertical="top" wrapText="1"/>
    </xf>
    <xf numFmtId="165" fontId="23" fillId="0" borderId="69" xfId="0" applyNumberFormat="1" applyFont="1" applyBorder="1" applyAlignment="1" applyProtection="1">
      <alignment horizontal="center" vertical="top" wrapText="1"/>
      <protection hidden="1"/>
    </xf>
    <xf numFmtId="10" fontId="22" fillId="0" borderId="69" xfId="0" applyNumberFormat="1" applyFont="1" applyBorder="1" applyAlignment="1">
      <alignment horizontal="center" vertical="top"/>
    </xf>
    <xf numFmtId="164" fontId="22" fillId="8" borderId="69" xfId="0" applyNumberFormat="1" applyFont="1" applyFill="1" applyBorder="1" applyAlignment="1">
      <alignment horizontal="center" vertical="top"/>
    </xf>
    <xf numFmtId="0" fontId="22" fillId="0" borderId="73" xfId="0" applyFont="1" applyBorder="1" applyAlignment="1">
      <alignment horizontal="left" vertical="top" wrapText="1"/>
    </xf>
    <xf numFmtId="0" fontId="22" fillId="0" borderId="78" xfId="0" applyFont="1" applyBorder="1" applyAlignment="1">
      <alignment vertical="top" wrapText="1"/>
    </xf>
    <xf numFmtId="0" fontId="19" fillId="0" borderId="74" xfId="0" applyFont="1" applyBorder="1" applyAlignment="1">
      <alignment horizontal="left" vertical="top" wrapText="1"/>
    </xf>
    <xf numFmtId="0" fontId="19" fillId="0" borderId="75" xfId="0" applyFont="1" applyBorder="1" applyAlignment="1">
      <alignment horizontal="left" vertical="top" wrapText="1"/>
    </xf>
    <xf numFmtId="0" fontId="23" fillId="0" borderId="81" xfId="0" applyFont="1" applyBorder="1" applyAlignment="1" applyProtection="1">
      <alignment horizontal="center" vertical="top" wrapText="1"/>
      <protection locked="0" hidden="1"/>
    </xf>
    <xf numFmtId="165" fontId="23" fillId="0" borderId="74" xfId="0" applyNumberFormat="1" applyFont="1" applyBorder="1" applyAlignment="1" applyProtection="1">
      <alignment horizontal="center" vertical="top" wrapText="1"/>
      <protection hidden="1"/>
    </xf>
    <xf numFmtId="10" fontId="22" fillId="0" borderId="74" xfId="0" applyNumberFormat="1" applyFont="1" applyBorder="1" applyAlignment="1">
      <alignment horizontal="center" vertical="top"/>
    </xf>
    <xf numFmtId="164" fontId="22" fillId="8" borderId="74" xfId="0" applyNumberFormat="1" applyFont="1" applyFill="1" applyBorder="1" applyAlignment="1">
      <alignment horizontal="center" vertical="top"/>
    </xf>
    <xf numFmtId="0" fontId="22" fillId="0" borderId="75" xfId="0" applyFont="1" applyBorder="1" applyAlignment="1">
      <alignment vertical="top" wrapText="1"/>
    </xf>
    <xf numFmtId="0" fontId="12" fillId="0" borderId="85" xfId="0" applyFont="1" applyBorder="1" applyAlignment="1">
      <alignment horizontal="center" wrapText="1"/>
    </xf>
    <xf numFmtId="0" fontId="12" fillId="0" borderId="86" xfId="0" applyFont="1" applyBorder="1" applyAlignment="1">
      <alignment horizontal="center" wrapText="1"/>
    </xf>
    <xf numFmtId="0" fontId="12" fillId="0" borderId="87" xfId="0" applyFont="1" applyBorder="1" applyAlignment="1">
      <alignment horizontal="center" wrapText="1"/>
    </xf>
    <xf numFmtId="0" fontId="12" fillId="0" borderId="88" xfId="0" applyFont="1" applyBorder="1" applyAlignment="1">
      <alignment horizontal="center" wrapText="1"/>
    </xf>
    <xf numFmtId="0" fontId="12" fillId="0" borderId="89" xfId="0" applyFont="1" applyBorder="1" applyAlignment="1">
      <alignment horizontal="center" wrapText="1"/>
    </xf>
    <xf numFmtId="0" fontId="12" fillId="0" borderId="90" xfId="0" applyFont="1" applyBorder="1" applyAlignment="1">
      <alignment horizontal="center" wrapText="1"/>
    </xf>
    <xf numFmtId="10" fontId="22" fillId="8" borderId="67" xfId="0" applyNumberFormat="1" applyFont="1" applyFill="1" applyBorder="1" applyAlignment="1">
      <alignment horizontal="center" vertical="top"/>
    </xf>
    <xf numFmtId="0" fontId="51" fillId="0" borderId="72" xfId="0" applyFont="1" applyBorder="1" applyAlignment="1">
      <alignment vertical="top" wrapText="1"/>
    </xf>
    <xf numFmtId="0" fontId="18" fillId="8" borderId="46" xfId="0" applyFont="1" applyFill="1" applyBorder="1" applyAlignment="1">
      <alignment horizontal="center" vertical="center"/>
    </xf>
    <xf numFmtId="0" fontId="22" fillId="8" borderId="71" xfId="0" applyFont="1" applyFill="1" applyBorder="1" applyAlignment="1">
      <alignment horizontal="center" vertical="top" wrapText="1"/>
    </xf>
    <xf numFmtId="0" fontId="22" fillId="0" borderId="67" xfId="0" applyFont="1" applyBorder="1" applyAlignment="1">
      <alignment horizontal="left" vertical="top" wrapText="1"/>
    </xf>
    <xf numFmtId="0" fontId="22" fillId="0" borderId="77" xfId="0" applyFont="1" applyBorder="1" applyAlignment="1">
      <alignment horizontal="left" vertical="top" wrapText="1"/>
    </xf>
    <xf numFmtId="0" fontId="19" fillId="0" borderId="71" xfId="0" applyFont="1" applyBorder="1" applyAlignment="1">
      <alignment horizontal="left" vertical="top" wrapText="1"/>
    </xf>
    <xf numFmtId="0" fontId="22" fillId="0" borderId="72" xfId="0" applyFont="1" applyBorder="1" applyAlignment="1">
      <alignment horizontal="left" vertical="top" wrapText="1"/>
    </xf>
    <xf numFmtId="0" fontId="19" fillId="0" borderId="90" xfId="0" applyFont="1" applyBorder="1" applyAlignment="1">
      <alignment horizontal="left" vertical="top" wrapText="1"/>
    </xf>
    <xf numFmtId="0" fontId="23" fillId="0" borderId="95" xfId="0" applyFont="1" applyBorder="1" applyAlignment="1" applyProtection="1">
      <alignment horizontal="center" vertical="top" wrapText="1"/>
      <protection locked="0" hidden="1"/>
    </xf>
    <xf numFmtId="165" fontId="23" fillId="0" borderId="87" xfId="0" applyNumberFormat="1" applyFont="1" applyBorder="1" applyAlignment="1" applyProtection="1">
      <alignment horizontal="center" vertical="top" wrapText="1"/>
      <protection hidden="1"/>
    </xf>
    <xf numFmtId="10" fontId="22" fillId="0" borderId="87" xfId="0" applyNumberFormat="1" applyFont="1" applyBorder="1" applyAlignment="1">
      <alignment horizontal="center" vertical="top"/>
    </xf>
    <xf numFmtId="10" fontId="22" fillId="8" borderId="87" xfId="0" applyNumberFormat="1" applyFont="1" applyFill="1" applyBorder="1" applyAlignment="1">
      <alignment horizontal="center" vertical="top"/>
    </xf>
    <xf numFmtId="0" fontId="51" fillId="0" borderId="90" xfId="0" applyFont="1" applyBorder="1" applyAlignment="1">
      <alignment vertical="top" wrapText="1"/>
    </xf>
    <xf numFmtId="0" fontId="13" fillId="8" borderId="49" xfId="0" applyFont="1" applyFill="1" applyBorder="1" applyAlignment="1">
      <alignment horizontal="center" vertical="center" textRotation="90"/>
    </xf>
    <xf numFmtId="0" fontId="13" fillId="13" borderId="51" xfId="0" applyFont="1" applyFill="1" applyBorder="1" applyAlignment="1">
      <alignment horizontal="center" vertical="center"/>
    </xf>
    <xf numFmtId="0" fontId="22" fillId="8" borderId="84" xfId="0" applyFont="1" applyFill="1" applyBorder="1" applyAlignment="1">
      <alignment horizontal="center" vertical="top" wrapText="1"/>
    </xf>
    <xf numFmtId="0" fontId="22" fillId="0" borderId="87" xfId="0" applyFont="1" applyBorder="1" applyAlignment="1">
      <alignment horizontal="left" vertical="top" wrapText="1"/>
    </xf>
    <xf numFmtId="0" fontId="22" fillId="0" borderId="94" xfId="0" applyFont="1" applyBorder="1" applyAlignment="1">
      <alignment vertical="top" wrapText="1"/>
    </xf>
    <xf numFmtId="0" fontId="25" fillId="0" borderId="84" xfId="0" applyFont="1" applyBorder="1" applyAlignment="1">
      <alignment horizontal="left" vertical="top" wrapText="1"/>
    </xf>
    <xf numFmtId="0" fontId="25" fillId="0" borderId="71" xfId="0" applyFont="1" applyBorder="1" applyAlignment="1">
      <alignment horizontal="left" vertical="top" wrapText="1"/>
    </xf>
    <xf numFmtId="0" fontId="25" fillId="0" borderId="87" xfId="0" applyFont="1" applyBorder="1" applyAlignment="1">
      <alignment horizontal="left" vertical="top" wrapText="1"/>
    </xf>
    <xf numFmtId="0" fontId="78" fillId="18" borderId="2" xfId="0" applyFont="1" applyFill="1" applyBorder="1" applyAlignment="1">
      <alignment horizontal="center" vertical="top" wrapText="1"/>
    </xf>
    <xf numFmtId="0" fontId="78" fillId="18" borderId="0" xfId="0" applyFont="1" applyFill="1" applyAlignment="1">
      <alignment horizontal="center" vertical="top" wrapText="1"/>
    </xf>
    <xf numFmtId="0" fontId="78" fillId="18" borderId="32" xfId="0" applyFont="1" applyFill="1" applyBorder="1" applyAlignment="1">
      <alignment horizontal="center" vertical="top" wrapText="1"/>
    </xf>
    <xf numFmtId="0" fontId="24" fillId="0" borderId="71" xfId="0" applyFont="1" applyBorder="1" applyAlignment="1">
      <alignment horizontal="left" vertical="top" wrapText="1"/>
    </xf>
    <xf numFmtId="0" fontId="32" fillId="0" borderId="77" xfId="0" applyFont="1" applyBorder="1" applyAlignment="1">
      <alignment vertical="top" wrapText="1"/>
    </xf>
    <xf numFmtId="0" fontId="12" fillId="0" borderId="82" xfId="0" applyFont="1" applyBorder="1" applyAlignment="1">
      <alignment horizontal="center" wrapText="1"/>
    </xf>
    <xf numFmtId="0" fontId="12" fillId="0" borderId="83" xfId="0" applyFont="1" applyBorder="1" applyAlignment="1">
      <alignment horizontal="center" wrapText="1"/>
    </xf>
    <xf numFmtId="0" fontId="12" fillId="0" borderId="84" xfId="0" applyFont="1" applyBorder="1" applyAlignment="1">
      <alignment horizontal="center" wrapText="1"/>
    </xf>
    <xf numFmtId="9" fontId="22" fillId="0" borderId="3" xfId="0" applyNumberFormat="1" applyFont="1" applyBorder="1" applyAlignment="1">
      <alignment horizontal="center" vertical="top"/>
    </xf>
    <xf numFmtId="0" fontId="12" fillId="0" borderId="2" xfId="0" applyFont="1" applyBorder="1" applyAlignment="1">
      <alignment horizontal="left" vertical="top"/>
    </xf>
    <xf numFmtId="0" fontId="22" fillId="8" borderId="34" xfId="0" applyFont="1" applyFill="1" applyBorder="1" applyAlignment="1">
      <alignment horizontal="center" vertical="top" wrapText="1"/>
    </xf>
    <xf numFmtId="0" fontId="22" fillId="8" borderId="31" xfId="0" applyFont="1" applyFill="1" applyBorder="1" applyAlignment="1">
      <alignment horizontal="center" vertical="top" wrapText="1"/>
    </xf>
    <xf numFmtId="0" fontId="22" fillId="8" borderId="14" xfId="0" applyFont="1" applyFill="1" applyBorder="1" applyAlignment="1">
      <alignment horizontal="center" vertical="top" wrapText="1"/>
    </xf>
    <xf numFmtId="0" fontId="54" fillId="0" borderId="2" xfId="0" applyFont="1" applyBorder="1" applyAlignment="1">
      <alignment horizontal="left" vertical="top"/>
    </xf>
    <xf numFmtId="0" fontId="35" fillId="17" borderId="3" xfId="2" applyBorder="1" applyAlignment="1">
      <alignment horizontal="center" vertical="center"/>
    </xf>
    <xf numFmtId="0" fontId="22" fillId="22" borderId="3" xfId="0" applyFont="1" applyFill="1" applyBorder="1" applyAlignment="1">
      <alignment horizontal="left" vertical="top" wrapText="1"/>
    </xf>
    <xf numFmtId="0" fontId="32" fillId="22" borderId="46" xfId="0" applyFont="1" applyFill="1" applyBorder="1" applyAlignment="1">
      <alignment vertical="top" wrapText="1"/>
    </xf>
    <xf numFmtId="0" fontId="22" fillId="22" borderId="46" xfId="0" applyFont="1" applyFill="1" applyBorder="1" applyAlignment="1">
      <alignment vertical="top" wrapText="1"/>
    </xf>
    <xf numFmtId="0" fontId="22" fillId="10" borderId="3" xfId="0" applyFont="1" applyFill="1" applyBorder="1" applyAlignment="1">
      <alignment vertical="top" wrapText="1"/>
    </xf>
    <xf numFmtId="0" fontId="54" fillId="0" borderId="2" xfId="0" applyFont="1" applyBorder="1" applyAlignment="1">
      <alignment horizontal="left" vertical="top" wrapText="1"/>
    </xf>
    <xf numFmtId="0" fontId="12" fillId="0" borderId="2" xfId="0" applyFont="1" applyBorder="1" applyAlignment="1">
      <alignment horizontal="left" vertical="top" wrapText="1"/>
    </xf>
    <xf numFmtId="0" fontId="12" fillId="0" borderId="2" xfId="0" applyFont="1" applyBorder="1" applyAlignment="1">
      <alignment horizontal="left" vertical="center" wrapText="1"/>
    </xf>
    <xf numFmtId="0" fontId="12" fillId="0" borderId="2" xfId="0" applyFont="1" applyBorder="1" applyAlignment="1">
      <alignment horizontal="left" vertical="center"/>
    </xf>
    <xf numFmtId="0" fontId="12" fillId="0" borderId="3" xfId="0" applyFont="1" applyBorder="1" applyAlignment="1">
      <alignment horizontal="left" vertical="top" wrapText="1"/>
    </xf>
    <xf numFmtId="0" fontId="12" fillId="0" borderId="3" xfId="0" applyFont="1" applyBorder="1" applyAlignment="1">
      <alignment horizontal="left" vertical="top"/>
    </xf>
    <xf numFmtId="0" fontId="32" fillId="0" borderId="47" xfId="0" applyFont="1" applyBorder="1" applyAlignment="1">
      <alignment vertical="top" wrapText="1"/>
    </xf>
    <xf numFmtId="0" fontId="32" fillId="0" borderId="2" xfId="0" applyFont="1" applyBorder="1" applyAlignment="1">
      <alignment vertical="top" wrapText="1"/>
    </xf>
    <xf numFmtId="0" fontId="32" fillId="0" borderId="23" xfId="0" applyFont="1" applyBorder="1" applyAlignment="1">
      <alignment vertical="top" wrapText="1"/>
    </xf>
    <xf numFmtId="0" fontId="51" fillId="0" borderId="3" xfId="0" applyFont="1" applyBorder="1" applyAlignment="1">
      <alignment vertical="top" wrapText="1"/>
    </xf>
    <xf numFmtId="0" fontId="24" fillId="0" borderId="2" xfId="0" applyFont="1" applyBorder="1" applyAlignment="1">
      <alignment vertical="top" wrapText="1"/>
    </xf>
    <xf numFmtId="0" fontId="12" fillId="0" borderId="2" xfId="0" applyFont="1" applyBorder="1" applyAlignment="1">
      <alignment horizontal="center" vertical="top"/>
    </xf>
    <xf numFmtId="0" fontId="24" fillId="0" borderId="2" xfId="0" applyFont="1" applyBorder="1" applyAlignment="1">
      <alignment horizontal="left" vertical="top" wrapText="1"/>
    </xf>
    <xf numFmtId="0" fontId="25" fillId="0" borderId="12" xfId="0" applyFont="1" applyBorder="1" applyAlignment="1">
      <alignment horizontal="left" vertical="top" wrapText="1"/>
    </xf>
    <xf numFmtId="0" fontId="18" fillId="8" borderId="18" xfId="0" applyFont="1" applyFill="1" applyBorder="1" applyAlignment="1">
      <alignment horizontal="center" vertical="center" wrapText="1"/>
    </xf>
    <xf numFmtId="0" fontId="18" fillId="8" borderId="49" xfId="0" applyFont="1" applyFill="1" applyBorder="1" applyAlignment="1">
      <alignment horizontal="center" vertical="center"/>
    </xf>
    <xf numFmtId="0" fontId="18" fillId="8" borderId="59" xfId="0" applyFont="1" applyFill="1" applyBorder="1" applyAlignment="1">
      <alignment horizontal="center" vertical="center"/>
    </xf>
    <xf numFmtId="164" fontId="22" fillId="0" borderId="31" xfId="0" applyNumberFormat="1" applyFont="1" applyBorder="1" applyAlignment="1">
      <alignment horizontal="center" vertical="top"/>
    </xf>
    <xf numFmtId="164" fontId="22" fillId="0" borderId="34" xfId="0" applyNumberFormat="1" applyFont="1" applyBorder="1" applyAlignment="1">
      <alignment horizontal="center" vertical="top"/>
    </xf>
    <xf numFmtId="0" fontId="13" fillId="11" borderId="50" xfId="0" applyFont="1" applyFill="1" applyBorder="1" applyAlignment="1">
      <alignment horizontal="center" vertical="center"/>
    </xf>
    <xf numFmtId="0" fontId="13" fillId="11" borderId="66" xfId="0" applyFont="1" applyFill="1" applyBorder="1" applyAlignment="1">
      <alignment horizontal="center" vertical="center"/>
    </xf>
    <xf numFmtId="0" fontId="18" fillId="8" borderId="1" xfId="0" applyFont="1" applyFill="1" applyBorder="1" applyAlignment="1">
      <alignment horizontal="center" vertical="center"/>
    </xf>
    <xf numFmtId="0" fontId="18" fillId="8" borderId="63" xfId="0" applyFont="1" applyFill="1" applyBorder="1" applyAlignment="1">
      <alignment horizontal="center" vertical="center"/>
    </xf>
    <xf numFmtId="0" fontId="22" fillId="0" borderId="17" xfId="0" applyFont="1" applyBorder="1" applyAlignment="1">
      <alignment horizontal="left" vertical="top" wrapText="1"/>
    </xf>
    <xf numFmtId="0" fontId="22" fillId="0" borderId="16" xfId="0" applyFont="1" applyBorder="1" applyAlignment="1">
      <alignment vertical="top" wrapText="1"/>
    </xf>
    <xf numFmtId="0" fontId="18" fillId="8" borderId="37" xfId="0" applyFont="1" applyFill="1" applyBorder="1" applyAlignment="1">
      <alignment horizontal="center" vertical="center"/>
    </xf>
    <xf numFmtId="0" fontId="23" fillId="0" borderId="37" xfId="0" applyFont="1" applyBorder="1" applyAlignment="1" applyProtection="1">
      <alignment horizontal="center" vertical="center" wrapText="1"/>
      <protection locked="0" hidden="1"/>
    </xf>
    <xf numFmtId="165" fontId="23" fillId="0" borderId="14" xfId="0" applyNumberFormat="1" applyFont="1" applyBorder="1" applyAlignment="1" applyProtection="1">
      <alignment horizontal="center" vertical="center" wrapText="1"/>
      <protection hidden="1"/>
    </xf>
    <xf numFmtId="164" fontId="22" fillId="0" borderId="34" xfId="0" applyNumberFormat="1" applyFont="1" applyBorder="1" applyAlignment="1">
      <alignment horizontal="center" vertical="center"/>
    </xf>
    <xf numFmtId="164" fontId="22" fillId="0" borderId="31" xfId="0" applyNumberFormat="1" applyFont="1" applyBorder="1" applyAlignment="1">
      <alignment horizontal="center" vertical="center"/>
    </xf>
    <xf numFmtId="0" fontId="22" fillId="0" borderId="33" xfId="0" applyFont="1" applyBorder="1" applyAlignment="1">
      <alignment vertical="center" wrapText="1"/>
    </xf>
    <xf numFmtId="0" fontId="22" fillId="0" borderId="31" xfId="0" applyFont="1" applyBorder="1" applyAlignment="1">
      <alignment horizontal="left" vertical="center" wrapText="1"/>
    </xf>
    <xf numFmtId="0" fontId="22" fillId="0" borderId="14" xfId="0" applyFont="1" applyBorder="1" applyAlignment="1">
      <alignment horizontal="left" vertical="center" wrapText="1"/>
    </xf>
    <xf numFmtId="0" fontId="22" fillId="18" borderId="35" xfId="0" applyFont="1" applyFill="1" applyBorder="1" applyAlignment="1">
      <alignment horizontal="center" vertical="top" wrapText="1"/>
    </xf>
    <xf numFmtId="0" fontId="22" fillId="18" borderId="33" xfId="0" applyFont="1" applyFill="1" applyBorder="1" applyAlignment="1">
      <alignment horizontal="center" vertical="top" wrapText="1"/>
    </xf>
    <xf numFmtId="0" fontId="22" fillId="18" borderId="13" xfId="0" applyFont="1" applyFill="1" applyBorder="1" applyAlignment="1">
      <alignment horizontal="center" vertical="top" wrapText="1"/>
    </xf>
    <xf numFmtId="164" fontId="22" fillId="0" borderId="34" xfId="1" applyNumberFormat="1" applyFont="1" applyBorder="1" applyAlignment="1">
      <alignment horizontal="center" vertical="center"/>
    </xf>
    <xf numFmtId="164" fontId="22" fillId="0" borderId="31" xfId="1" applyNumberFormat="1" applyFont="1" applyBorder="1" applyAlignment="1">
      <alignment horizontal="center" vertical="center"/>
    </xf>
    <xf numFmtId="164" fontId="22" fillId="0" borderId="14" xfId="1" applyNumberFormat="1" applyFont="1" applyBorder="1" applyAlignment="1">
      <alignment horizontal="center" vertical="center"/>
    </xf>
    <xf numFmtId="164" fontId="23" fillId="0" borderId="34" xfId="1" applyNumberFormat="1" applyFont="1" applyBorder="1" applyAlignment="1" applyProtection="1">
      <alignment horizontal="center" vertical="center" wrapText="1"/>
      <protection hidden="1"/>
    </xf>
    <xf numFmtId="164" fontId="23" fillId="0" borderId="31" xfId="1" applyNumberFormat="1" applyFont="1" applyBorder="1" applyAlignment="1" applyProtection="1">
      <alignment horizontal="center" vertical="center" wrapText="1"/>
      <protection hidden="1"/>
    </xf>
    <xf numFmtId="164" fontId="23" fillId="0" borderId="14" xfId="1" applyNumberFormat="1" applyFont="1" applyBorder="1" applyAlignment="1" applyProtection="1">
      <alignment horizontal="center" vertical="center" wrapText="1"/>
      <protection hidden="1"/>
    </xf>
    <xf numFmtId="1" fontId="27" fillId="8" borderId="9" xfId="0" applyNumberFormat="1" applyFont="1" applyFill="1" applyBorder="1" applyAlignment="1">
      <alignment horizontal="center" vertical="center" wrapText="1"/>
    </xf>
    <xf numFmtId="0" fontId="66" fillId="23" borderId="3" xfId="0" applyFont="1" applyFill="1" applyBorder="1" applyAlignment="1">
      <alignment vertical="top" wrapText="1"/>
    </xf>
    <xf numFmtId="0" fontId="67" fillId="23" borderId="0" xfId="0" applyFont="1" applyFill="1" applyAlignment="1">
      <alignment horizontal="center" vertical="center"/>
    </xf>
    <xf numFmtId="0" fontId="67" fillId="0" borderId="0" xfId="0" applyFont="1"/>
  </cellXfs>
  <cellStyles count="7">
    <cellStyle name="20% - Accent5" xfId="5" builtinId="46"/>
    <cellStyle name="Bad" xfId="2" builtinId="27"/>
    <cellStyle name="Good" xfId="3" builtinId="26"/>
    <cellStyle name="Hyperlink" xfId="4" builtinId="8"/>
    <cellStyle name="Normal" xfId="0" builtinId="0"/>
    <cellStyle name="Normal 3" xfId="6" xr:uid="{A561607A-052D-44C4-B434-354F617353BB}"/>
    <cellStyle name="Percent" xfId="1" builtinId="5"/>
  </cellStyles>
  <dxfs count="5">
    <dxf>
      <font>
        <color rgb="FF9C0006"/>
      </font>
      <fill>
        <patternFill>
          <bgColor rgb="FFFFC7CE"/>
        </patternFill>
      </fill>
    </dxf>
    <dxf>
      <fill>
        <patternFill>
          <bgColor rgb="FF92D050"/>
        </patternFill>
      </fill>
    </dxf>
    <dxf>
      <fill>
        <patternFill>
          <bgColor rgb="FF92D050"/>
        </patternFill>
      </fill>
    </dxf>
    <dxf>
      <fill>
        <patternFill>
          <bgColor rgb="FFFF5B5B"/>
        </patternFill>
      </fill>
    </dxf>
    <dxf>
      <fill>
        <patternFill patternType="solid">
          <fgColor rgb="FFFFC7CE"/>
          <bgColor rgb="FFFFFFFF"/>
        </patternFill>
      </fill>
    </dxf>
  </dxfs>
  <tableStyles count="0" defaultTableStyle="TableStyleMedium2" defaultPivotStyle="PivotStyleLight16"/>
  <colors>
    <mruColors>
      <color rgb="FFC97A00"/>
      <color rgb="FF003896"/>
      <color rgb="FF0DB02B"/>
      <color rgb="FF71725B"/>
      <color rgb="FF96330F"/>
      <color rgb="FF22A2A8"/>
      <color rgb="FFC97A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styles" Target="styles.xml"/><Relationship Id="rId35" Type="http://schemas.openxmlformats.org/officeDocument/2006/relationships/customXml" Target="../customXml/item3.xml"/><Relationship Id="rId8" Type="http://schemas.openxmlformats.org/officeDocument/2006/relationships/worksheet" Target="worksheets/sheet8.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106257</xdr:colOff>
      <xdr:row>17</xdr:row>
      <xdr:rowOff>1691</xdr:rowOff>
    </xdr:from>
    <xdr:to>
      <xdr:col>11</xdr:col>
      <xdr:colOff>0</xdr:colOff>
      <xdr:row>20</xdr:row>
      <xdr:rowOff>10583</xdr:rowOff>
    </xdr:to>
    <xdr:sp macro="" textlink="">
      <xdr:nvSpPr>
        <xdr:cNvPr id="2" name="TextBox 1">
          <a:extLst>
            <a:ext uri="{FF2B5EF4-FFF2-40B4-BE49-F238E27FC236}">
              <a16:creationId xmlns:a16="http://schemas.microsoft.com/office/drawing/2014/main" id="{D29968D5-9F8B-4E9E-BFC7-BC374FEA3B02}"/>
            </a:ext>
          </a:extLst>
        </xdr:cNvPr>
        <xdr:cNvSpPr txBox="1"/>
      </xdr:nvSpPr>
      <xdr:spPr>
        <a:xfrm>
          <a:off x="106257" y="4207931"/>
          <a:ext cx="6766983" cy="557532"/>
        </a:xfrm>
        <a:prstGeom prst="rect">
          <a:avLst/>
        </a:prstGeom>
        <a:solidFill>
          <a:sysClr val="window" lastClr="FFFFFF"/>
        </a:solidFill>
        <a:ln w="9525" cmpd="sng">
          <a:solidFill>
            <a:sysClr val="window" lastClr="FFFFFF">
              <a:shade val="50000"/>
            </a:sysClr>
          </a:solidFill>
        </a:ln>
        <a:effectLst/>
      </xdr:spPr>
      <xdr:txBody>
        <a:bodyPr wrap="square" rtlCol="0" anchor="t"/>
        <a:lstStyle>
          <a:defPPr>
            <a:defRPr lang="en-US"/>
          </a:defPPr>
          <a:lvl1pPr marL="0" algn="l" defTabSz="914400" rtl="0" eaLnBrk="1" latinLnBrk="0" hangingPunct="1">
            <a:defRPr sz="1800" kern="1200">
              <a:solidFill>
                <a:srgbClr val="003896"/>
              </a:solidFill>
              <a:latin typeface="Arial" panose="020B0604020202020204"/>
            </a:defRPr>
          </a:lvl1pPr>
          <a:lvl2pPr marL="457200" algn="l" defTabSz="914400" rtl="0" eaLnBrk="1" latinLnBrk="0" hangingPunct="1">
            <a:defRPr sz="1800" kern="1200">
              <a:solidFill>
                <a:srgbClr val="003896"/>
              </a:solidFill>
              <a:latin typeface="Arial" panose="020B0604020202020204"/>
            </a:defRPr>
          </a:lvl2pPr>
          <a:lvl3pPr marL="914400" algn="l" defTabSz="914400" rtl="0" eaLnBrk="1" latinLnBrk="0" hangingPunct="1">
            <a:defRPr sz="1800" kern="1200">
              <a:solidFill>
                <a:srgbClr val="003896"/>
              </a:solidFill>
              <a:latin typeface="Arial" panose="020B0604020202020204"/>
            </a:defRPr>
          </a:lvl3pPr>
          <a:lvl4pPr marL="1371600" algn="l" defTabSz="914400" rtl="0" eaLnBrk="1" latinLnBrk="0" hangingPunct="1">
            <a:defRPr sz="1800" kern="1200">
              <a:solidFill>
                <a:srgbClr val="003896"/>
              </a:solidFill>
              <a:latin typeface="Arial" panose="020B0604020202020204"/>
            </a:defRPr>
          </a:lvl4pPr>
          <a:lvl5pPr marL="1828800" algn="l" defTabSz="914400" rtl="0" eaLnBrk="1" latinLnBrk="0" hangingPunct="1">
            <a:defRPr sz="1800" kern="1200">
              <a:solidFill>
                <a:srgbClr val="003896"/>
              </a:solidFill>
              <a:latin typeface="Arial" panose="020B0604020202020204"/>
            </a:defRPr>
          </a:lvl5pPr>
          <a:lvl6pPr marL="2286000" algn="l" defTabSz="914400" rtl="0" eaLnBrk="1" latinLnBrk="0" hangingPunct="1">
            <a:defRPr sz="1800" kern="1200">
              <a:solidFill>
                <a:srgbClr val="003896"/>
              </a:solidFill>
              <a:latin typeface="Arial" panose="020B0604020202020204"/>
            </a:defRPr>
          </a:lvl6pPr>
          <a:lvl7pPr marL="2743200" algn="l" defTabSz="914400" rtl="0" eaLnBrk="1" latinLnBrk="0" hangingPunct="1">
            <a:defRPr sz="1800" kern="1200">
              <a:solidFill>
                <a:srgbClr val="003896"/>
              </a:solidFill>
              <a:latin typeface="Arial" panose="020B0604020202020204"/>
            </a:defRPr>
          </a:lvl7pPr>
          <a:lvl8pPr marL="3200400" algn="l" defTabSz="914400" rtl="0" eaLnBrk="1" latinLnBrk="0" hangingPunct="1">
            <a:defRPr sz="1800" kern="1200">
              <a:solidFill>
                <a:srgbClr val="003896"/>
              </a:solidFill>
              <a:latin typeface="Arial" panose="020B0604020202020204"/>
            </a:defRPr>
          </a:lvl8pPr>
          <a:lvl9pPr marL="3657600" algn="l" defTabSz="914400" rtl="0" eaLnBrk="1" latinLnBrk="0" hangingPunct="1">
            <a:defRPr sz="1800" kern="1200">
              <a:solidFill>
                <a:srgbClr val="003896"/>
              </a:solidFill>
              <a:latin typeface="Arial" panose="020B0604020202020204"/>
            </a:defRPr>
          </a:lvl9pPr>
        </a:lstStyle>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a:ln>
                <a:noFill/>
              </a:ln>
              <a:solidFill>
                <a:sysClr val="windowText" lastClr="000000"/>
              </a:solidFill>
              <a:effectLst/>
              <a:uLnTx/>
              <a:uFillTx/>
              <a:latin typeface="Calibri" panose="020F0502020204030204"/>
            </a:rPr>
            <a:t>Each Tab/worksheet describes the technical requirements under the green heading, these include the business requirements and the mandatory returnables a vendor must provide as evidence that they can meet the business requirements.</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a:ln>
                <a:noFill/>
              </a:ln>
              <a:solidFill>
                <a:sysClr val="windowText" lastClr="000000"/>
              </a:solidFill>
              <a:effectLst/>
              <a:uLnTx/>
              <a:uFillTx/>
              <a:latin typeface="Calibri" panose="020F0502020204030204"/>
            </a:rPr>
            <a:t>The vendor may only complete the three columns with orange headings, according to the instructions in the column heading.</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a:ln>
                <a:noFill/>
              </a:ln>
              <a:solidFill>
                <a:sysClr val="windowText" lastClr="000000"/>
              </a:solidFill>
              <a:effectLst/>
              <a:uLnTx/>
              <a:uFillTx/>
              <a:latin typeface="Calibri" panose="020F0502020204030204"/>
            </a:rPr>
            <a:t>The columns with blue headings are for internal Eskom use.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ZA" sz="1100" b="1" i="0" u="none" strike="noStrike" kern="0" cap="none" spc="0" normalizeH="0" baseline="0">
            <a:ln>
              <a:noFill/>
            </a:ln>
            <a:solidFill>
              <a:srgbClr val="ED7D31">
                <a:lumMod val="75000"/>
              </a:srgbClr>
            </a:solidFill>
            <a:effectLst/>
            <a:uLnTx/>
            <a:uFillTx/>
            <a:latin typeface="Calibri" panose="020F0502020204030204"/>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ZA" sz="1200" b="1" i="0" u="none" strike="noStrike" kern="0" cap="none" spc="0" normalizeH="0" baseline="0">
              <a:ln>
                <a:noFill/>
              </a:ln>
              <a:solidFill>
                <a:sysClr val="windowText" lastClr="000000"/>
              </a:solidFill>
              <a:effectLst/>
              <a:uLnTx/>
              <a:uFillTx/>
              <a:latin typeface="Calibri" panose="020F0502020204030204"/>
            </a:rPr>
            <a:t>NOTE 1: A tenderer must meet or exceed the listed threshold in order to pass. Any tenderer who does not meet the minimum threshold will be disqualified from the tender process.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ZA" sz="1200" b="1" i="0" u="none" strike="noStrike" kern="0" cap="none" spc="0" normalizeH="0" baseline="0">
            <a:ln>
              <a:noFill/>
            </a:ln>
            <a:solidFill>
              <a:sysClr val="windowText" lastClr="000000"/>
            </a:solidFill>
            <a:effectLst/>
            <a:uLnTx/>
            <a:uFillTx/>
            <a:latin typeface="Calibri" panose="020F0502020204030204"/>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ZA" sz="1200" b="1" i="0" u="none" strike="noStrike" kern="0" cap="none" spc="0" normalizeH="0" baseline="0">
              <a:ln>
                <a:noFill/>
              </a:ln>
              <a:solidFill>
                <a:sysClr val="windowText" lastClr="000000"/>
              </a:solidFill>
              <a:effectLst/>
              <a:uLnTx/>
              <a:uFillTx/>
              <a:latin typeface="Calibri" panose="020F0502020204030204"/>
            </a:rPr>
            <a:t>Note 2: All mandatory returnables/evidence listed in this criteria must be included in the tender submission. Returnables must be clearly marked in the technical file and numbered to align with each criteria question. </a:t>
          </a:r>
          <a:r>
            <a:rPr kumimoji="0" lang="en-ZA" sz="1200" b="1" i="0" u="sng" strike="noStrike" kern="0" cap="none" spc="0" normalizeH="0" baseline="0">
              <a:ln>
                <a:noFill/>
              </a:ln>
              <a:solidFill>
                <a:sysClr val="windowText" lastClr="000000"/>
              </a:solidFill>
              <a:effectLst/>
              <a:uLnTx/>
              <a:uFillTx/>
              <a:latin typeface="Calibri" panose="020F0502020204030204"/>
            </a:rPr>
            <a:t>Points will not be allocated for questions where no returnables/evidence has been provided.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ZA" sz="1100" b="1" i="0" u="none" strike="noStrike" kern="0" cap="none" spc="0" normalizeH="0" baseline="0">
            <a:ln>
              <a:noFill/>
            </a:ln>
            <a:solidFill>
              <a:sysClr val="windowText" lastClr="000000"/>
            </a:solidFill>
            <a:effectLst/>
            <a:uLnTx/>
            <a:uFillTx/>
            <a:latin typeface="Calibri" panose="020F0502020204030204"/>
          </a:endParaRP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noProof="0">
              <a:ln>
                <a:noFill/>
              </a:ln>
              <a:solidFill>
                <a:sysClr val="windowText" lastClr="000000"/>
              </a:solidFill>
              <a:effectLst/>
              <a:uLnTx/>
              <a:uFillTx/>
              <a:latin typeface="Calibri" panose="020F0502020204030204"/>
              <a:ea typeface="+mn-ea"/>
              <a:cs typeface="+mn-cs"/>
            </a:rPr>
            <a:t>Only vendors who pass the desktop evaluation threshold will be invited for a demonstration.</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noProof="0">
              <a:ln>
                <a:noFill/>
              </a:ln>
              <a:solidFill>
                <a:sysClr val="windowText" lastClr="000000"/>
              </a:solidFill>
              <a:effectLst/>
              <a:uLnTx/>
              <a:uFillTx/>
              <a:latin typeface="Calibri" panose="020F0502020204030204"/>
              <a:ea typeface="+mn-ea"/>
              <a:cs typeface="+mn-cs"/>
            </a:rPr>
            <a:t>Eskom will not reimburse Vendors for time spent preparing for or presenting their demonstration.</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noProof="0">
              <a:ln>
                <a:noFill/>
              </a:ln>
              <a:solidFill>
                <a:sysClr val="windowText" lastClr="000000"/>
              </a:solidFill>
              <a:effectLst/>
              <a:uLnTx/>
              <a:uFillTx/>
              <a:latin typeface="Calibri" panose="020F0502020204030204"/>
              <a:ea typeface="+mn-ea"/>
              <a:cs typeface="+mn-cs"/>
            </a:rPr>
            <a:t>The demonstration tab describes the business requirements and what  needs to be presented if  vendor is invited for a demonstration.</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200" b="0" i="0" u="none" strike="noStrike" kern="0" cap="none" spc="0" normalizeH="0" baseline="0" noProof="0">
              <a:ln>
                <a:noFill/>
              </a:ln>
              <a:solidFill>
                <a:sysClr val="windowText" lastClr="000000"/>
              </a:solidFill>
              <a:effectLst/>
              <a:uLnTx/>
              <a:uFillTx/>
              <a:latin typeface="Calibri" panose="020F0502020204030204"/>
              <a:ea typeface="+mn-ea"/>
              <a:cs typeface="+mn-cs"/>
            </a:rPr>
            <a:t>The threshold to pass the demonstration is stated in the scoring summary tab</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ZA" sz="12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ZA" sz="1100" b="1" i="0" u="none" strike="noStrike" kern="0" cap="none" spc="0" normalizeH="0" baseline="0" noProof="0">
            <a:ln>
              <a:noFill/>
            </a:ln>
            <a:solidFill>
              <a:srgbClr val="ED7D31">
                <a:lumMod val="75000"/>
              </a:srgbClr>
            </a:solidFill>
            <a:effectLst/>
            <a:uLnTx/>
            <a:uFillTx/>
            <a:latin typeface="Calibri" panose="020F0502020204030204"/>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ZA" sz="1100" b="1" i="0" u="none" strike="noStrike" kern="0" cap="none" spc="0" normalizeH="0" baseline="0">
            <a:ln>
              <a:noFill/>
            </a:ln>
            <a:solidFill>
              <a:sysClr val="windowText" lastClr="000000"/>
            </a:solidFill>
            <a:effectLst/>
            <a:uLnTx/>
            <a:uFillTx/>
            <a:latin typeface="Calibri" panose="020F0502020204030204"/>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ZA" sz="1100" b="1" i="0" u="none" strike="noStrike" kern="0" cap="none" spc="0" normalizeH="0" baseline="0">
              <a:ln>
                <a:noFill/>
              </a:ln>
              <a:solidFill>
                <a:sysClr val="windowText" lastClr="000000"/>
              </a:solidFill>
              <a:effectLst/>
              <a:uLnTx/>
              <a:uFillTx/>
              <a:latin typeface="Calibri" panose="020F0502020204030204"/>
            </a:rPr>
            <a:t> `</a:t>
          </a:r>
        </a:p>
      </xdr:txBody>
    </xdr:sp>
    <xdr:clientData/>
  </xdr:twoCellAnchor>
  <xdr:twoCellAnchor>
    <xdr:from>
      <xdr:col>11</xdr:col>
      <xdr:colOff>414868</xdr:colOff>
      <xdr:row>16</xdr:row>
      <xdr:rowOff>92764</xdr:rowOff>
    </xdr:from>
    <xdr:to>
      <xdr:col>21</xdr:col>
      <xdr:colOff>1906</xdr:colOff>
      <xdr:row>20</xdr:row>
      <xdr:rowOff>132521</xdr:rowOff>
    </xdr:to>
    <xdr:sp macro="" textlink="">
      <xdr:nvSpPr>
        <xdr:cNvPr id="3" name="TextBox 2">
          <a:extLst>
            <a:ext uri="{FF2B5EF4-FFF2-40B4-BE49-F238E27FC236}">
              <a16:creationId xmlns:a16="http://schemas.microsoft.com/office/drawing/2014/main" id="{430E8840-EB5D-466B-8872-9BE03255E28F}"/>
            </a:ext>
          </a:extLst>
        </xdr:cNvPr>
        <xdr:cNvSpPr txBox="1"/>
      </xdr:nvSpPr>
      <xdr:spPr>
        <a:xfrm>
          <a:off x="10287738" y="3147390"/>
          <a:ext cx="5815559" cy="339255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kumimoji="0" lang="en-ZA" sz="1100" b="1" i="0" u="none" strike="noStrike" kern="1200" cap="none" spc="0" normalizeH="0" baseline="0" noProof="0" dirty="0">
              <a:ln>
                <a:noFill/>
              </a:ln>
              <a:solidFill>
                <a:prstClr val="black"/>
              </a:solidFill>
              <a:effectLst/>
              <a:uLnTx/>
              <a:uFillTx/>
              <a:latin typeface="+mn-lt"/>
              <a:ea typeface="+mn-ea"/>
              <a:cs typeface="+mn-cs"/>
            </a:rPr>
            <a:t>Important notes to vendors - Demonstrations:</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Demonstrations will be held </a:t>
          </a:r>
          <a:r>
            <a:rPr kumimoji="0" lang="en-GB" sz="1100" b="0" i="0" u="sng" strike="noStrike" kern="0" cap="none" spc="0" normalizeH="0" baseline="0" noProof="0">
              <a:ln>
                <a:noFill/>
              </a:ln>
              <a:solidFill>
                <a:schemeClr val="dk1"/>
              </a:solidFill>
              <a:effectLst/>
              <a:uLnTx/>
              <a:uFillTx/>
              <a:latin typeface="+mn-lt"/>
              <a:ea typeface="+mn-ea"/>
              <a:cs typeface="+mn-cs"/>
            </a:rPr>
            <a:t>v</a:t>
          </a:r>
          <a:r>
            <a:rPr lang="en-GB" sz="1100" b="0" u="sng">
              <a:solidFill>
                <a:schemeClr val="dk1"/>
              </a:solidFill>
              <a:effectLst/>
              <a:latin typeface="+mn-lt"/>
              <a:ea typeface="+mn-ea"/>
              <a:cs typeface="+mn-cs"/>
            </a:rPr>
            <a:t>irtually</a:t>
          </a:r>
          <a:r>
            <a:rPr lang="en-GB" sz="1100" b="0">
              <a:solidFill>
                <a:schemeClr val="dk1"/>
              </a:solidFill>
              <a:effectLst/>
              <a:latin typeface="+mn-lt"/>
              <a:ea typeface="+mn-ea"/>
              <a:cs typeface="+mn-cs"/>
            </a:rPr>
            <a:t>,</a:t>
          </a:r>
          <a:r>
            <a:rPr lang="en-GB" sz="1100" b="0" baseline="0">
              <a:solidFill>
                <a:schemeClr val="dk1"/>
              </a:solidFill>
              <a:effectLst/>
              <a:latin typeface="+mn-lt"/>
              <a:ea typeface="+mn-ea"/>
              <a:cs typeface="+mn-cs"/>
            </a:rPr>
            <a:t> </a:t>
          </a:r>
          <a:r>
            <a:rPr lang="en-GB" sz="1100" b="0">
              <a:solidFill>
                <a:schemeClr val="dk1"/>
              </a:solidFill>
              <a:effectLst/>
              <a:latin typeface="+mn-lt"/>
              <a:ea typeface="+mn-ea"/>
              <a:cs typeface="+mn-cs"/>
            </a:rPr>
            <a:t>however if in person demonstration</a:t>
          </a:r>
          <a:r>
            <a:rPr lang="en-GB" sz="1100" b="0" baseline="0">
              <a:solidFill>
                <a:schemeClr val="dk1"/>
              </a:solidFill>
              <a:effectLst/>
              <a:latin typeface="+mn-lt"/>
              <a:ea typeface="+mn-ea"/>
              <a:cs typeface="+mn-cs"/>
            </a:rPr>
            <a:t> is </a:t>
          </a:r>
          <a:r>
            <a:rPr lang="en-GB" sz="1100" b="0">
              <a:solidFill>
                <a:schemeClr val="dk1"/>
              </a:solidFill>
              <a:effectLst/>
              <a:latin typeface="+mn-lt"/>
              <a:ea typeface="+mn-ea"/>
              <a:cs typeface="+mn-cs"/>
            </a:rPr>
            <a:t>required it will be communicated, and the venue will be communicated.</a:t>
          </a:r>
          <a:endParaRPr kumimoji="0" lang="en-ZA" sz="1100" b="0" i="0" u="none" strike="noStrike" kern="1200" cap="none" spc="0" normalizeH="0" baseline="0" noProof="0" dirty="0">
            <a:ln>
              <a:noFill/>
            </a:ln>
            <a:solidFill>
              <a:schemeClr val="accent1"/>
            </a:solidFill>
            <a:effectLst/>
            <a:uLnTx/>
            <a:uFillTx/>
            <a:latin typeface="+mn-lt"/>
            <a:ea typeface="+mn-ea"/>
            <a:cs typeface="+mn-cs"/>
          </a:endParaRP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You will </a:t>
          </a:r>
          <a:r>
            <a:rPr kumimoji="0" lang="en-ZA" sz="1100" b="0" i="0" u="none" strike="noStrike" kern="1200" cap="none" spc="0" normalizeH="0" baseline="0" noProof="0" dirty="0">
              <a:ln>
                <a:noFill/>
              </a:ln>
              <a:solidFill>
                <a:sysClr val="windowText" lastClr="000000"/>
              </a:solidFill>
              <a:effectLst/>
              <a:uLnTx/>
              <a:uFillTx/>
              <a:latin typeface="+mn-lt"/>
              <a:ea typeface="+mn-ea"/>
              <a:cs typeface="+mn-cs"/>
            </a:rPr>
            <a:t>have </a:t>
          </a:r>
          <a:r>
            <a:rPr kumimoji="0" lang="en-ZA" sz="1100" b="0" i="0" u="sng" strike="noStrike" kern="1200" cap="none" spc="0" normalizeH="0" baseline="0" noProof="0" dirty="0">
              <a:ln>
                <a:noFill/>
              </a:ln>
              <a:solidFill>
                <a:sysClr val="windowText" lastClr="000000"/>
              </a:solidFill>
              <a:effectLst/>
              <a:uLnTx/>
              <a:uFillTx/>
              <a:latin typeface="+mn-lt"/>
              <a:ea typeface="+mn-ea"/>
              <a:cs typeface="+mn-cs"/>
            </a:rPr>
            <a:t>4 hours </a:t>
          </a:r>
          <a:r>
            <a:rPr kumimoji="0" lang="en-ZA" sz="1100" b="0" i="0" u="none" strike="noStrike" kern="1200" cap="none" spc="0" normalizeH="0" baseline="0" noProof="0" dirty="0">
              <a:ln>
                <a:noFill/>
              </a:ln>
              <a:solidFill>
                <a:prstClr val="black"/>
              </a:solidFill>
              <a:effectLst/>
              <a:uLnTx/>
              <a:uFillTx/>
              <a:latin typeface="+mn-lt"/>
              <a:ea typeface="+mn-ea"/>
              <a:cs typeface="+mn-cs"/>
            </a:rPr>
            <a:t>to conclude your demonstration, this will be followed by </a:t>
          </a:r>
          <a:r>
            <a:rPr lang="en-ZA" sz="1100" b="0" i="0" u="sng" baseline="0">
              <a:solidFill>
                <a:schemeClr val="dk1"/>
              </a:solidFill>
              <a:effectLst/>
              <a:latin typeface="+mn-lt"/>
              <a:ea typeface="+mn-ea"/>
              <a:cs typeface="+mn-cs"/>
            </a:rPr>
            <a:t>4 hours </a:t>
          </a:r>
          <a:r>
            <a:rPr kumimoji="0" lang="en-ZA" sz="1100" b="0" i="0" u="none" strike="noStrike" kern="1200" cap="none" spc="0" normalizeH="0" baseline="0" noProof="0" dirty="0">
              <a:ln>
                <a:noFill/>
              </a:ln>
              <a:solidFill>
                <a:prstClr val="black"/>
              </a:solidFill>
              <a:effectLst/>
              <a:uLnTx/>
              <a:uFillTx/>
              <a:latin typeface="+mn-lt"/>
              <a:ea typeface="+mn-ea"/>
              <a:cs typeface="+mn-cs"/>
            </a:rPr>
            <a:t>for questions.</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If you are invited for a demonstration, you will have roughly </a:t>
          </a:r>
          <a:r>
            <a:rPr kumimoji="0" lang="en-ZA" sz="1100" b="0" i="0" u="sng" strike="noStrike" kern="1200" cap="none" spc="0" normalizeH="0" baseline="0" noProof="0" dirty="0">
              <a:ln>
                <a:noFill/>
              </a:ln>
              <a:solidFill>
                <a:sysClr val="windowText" lastClr="000000"/>
              </a:solidFill>
              <a:effectLst/>
              <a:uLnTx/>
              <a:uFillTx/>
              <a:latin typeface="+mn-lt"/>
              <a:ea typeface="+mn-ea"/>
              <a:cs typeface="+mn-cs"/>
            </a:rPr>
            <a:t>a week </a:t>
          </a:r>
          <a:r>
            <a:rPr kumimoji="0" lang="en-ZA" sz="1100" b="0" i="0" u="none" strike="noStrike" kern="1200" cap="none" spc="0" normalizeH="0" baseline="0" noProof="0" dirty="0">
              <a:ln>
                <a:noFill/>
              </a:ln>
              <a:solidFill>
                <a:prstClr val="black"/>
              </a:solidFill>
              <a:effectLst/>
              <a:uLnTx/>
              <a:uFillTx/>
              <a:latin typeface="+mn-lt"/>
              <a:ea typeface="+mn-ea"/>
              <a:cs typeface="+mn-cs"/>
            </a:rPr>
            <a:t>to prepare.</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For the demonstration you will be required to </a:t>
          </a:r>
          <a:r>
            <a:rPr kumimoji="0" lang="en-ZA" sz="1100" b="0" i="0" u="sng" strike="noStrike" kern="1200" cap="none" spc="0" normalizeH="0" baseline="0" noProof="0" dirty="0">
              <a:ln>
                <a:noFill/>
              </a:ln>
              <a:solidFill>
                <a:sysClr val="windowText" lastClr="000000"/>
              </a:solidFill>
              <a:effectLst/>
              <a:uLnTx/>
              <a:uFillTx/>
              <a:latin typeface="+mn-lt"/>
              <a:ea typeface="+mn-ea"/>
              <a:cs typeface="+mn-cs"/>
            </a:rPr>
            <a:t>present the UI of the system or present the back-end or both. Preferably demonstrations should be done from the latest production version of your solution</a:t>
          </a:r>
          <a:r>
            <a:rPr kumimoji="0" lang="en-ZA" sz="1100" b="0" i="0" u="none" strike="noStrike" kern="1200" cap="none" spc="0" normalizeH="0" baseline="0" noProof="0" dirty="0">
              <a:ln>
                <a:noFill/>
              </a:ln>
              <a:solidFill>
                <a:schemeClr val="accent1"/>
              </a:solidFill>
              <a:effectLst/>
              <a:uLnTx/>
              <a:uFillTx/>
              <a:latin typeface="+mn-lt"/>
              <a:ea typeface="+mn-ea"/>
              <a:cs typeface="+mn-cs"/>
            </a:rPr>
            <a:t>.   </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sysClr val="windowText" lastClr="000000"/>
              </a:solidFill>
              <a:effectLst/>
              <a:uLnTx/>
              <a:uFillTx/>
              <a:latin typeface="+mn-lt"/>
              <a:ea typeface="+mn-ea"/>
              <a:cs typeface="+mn-cs"/>
            </a:rPr>
            <a:t>If demonstrations will be done in person:</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All visitors are required to provide identification so please bring a driver's licence or ID, or you may not be allowed into the building. </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Arrive 30 minutes early to sign in your electronic devices at security, you will be collected from the main reception by an Eskom employee. </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A projector with standard VGA connector will be provided, please bring along any adapters you may need i.e. mac book adapter, HDMI etc.</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The venue do not have sound, if you need sound, please bring your own speaker</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10</xdr:col>
      <xdr:colOff>932871</xdr:colOff>
      <xdr:row>1</xdr:row>
      <xdr:rowOff>68332</xdr:rowOff>
    </xdr:from>
    <xdr:ext cx="1562679" cy="447416"/>
    <xdr:pic>
      <xdr:nvPicPr>
        <xdr:cNvPr id="2" name="Picture 1">
          <a:extLst>
            <a:ext uri="{FF2B5EF4-FFF2-40B4-BE49-F238E27FC236}">
              <a16:creationId xmlns:a16="http://schemas.microsoft.com/office/drawing/2014/main" id="{527E1989-4EA1-4559-9685-CAEF83EC81EA}"/>
            </a:ext>
          </a:extLst>
        </xdr:cNvPr>
        <xdr:cNvPicPr>
          <a:picLocks noChangeAspect="1"/>
        </xdr:cNvPicPr>
      </xdr:nvPicPr>
      <xdr:blipFill>
        <a:blip xmlns:r="http://schemas.openxmlformats.org/officeDocument/2006/relationships" r:embed="rId1"/>
        <a:stretch>
          <a:fillRect/>
        </a:stretch>
      </xdr:blipFill>
      <xdr:spPr>
        <a:xfrm>
          <a:off x="6876471" y="251212"/>
          <a:ext cx="1562679" cy="447416"/>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12</xdr:col>
      <xdr:colOff>944301</xdr:colOff>
      <xdr:row>0</xdr:row>
      <xdr:rowOff>39757</xdr:rowOff>
    </xdr:from>
    <xdr:ext cx="1553154" cy="444818"/>
    <xdr:pic>
      <xdr:nvPicPr>
        <xdr:cNvPr id="2" name="Picture 1" hidden="1">
          <a:extLst>
            <a:ext uri="{FF2B5EF4-FFF2-40B4-BE49-F238E27FC236}">
              <a16:creationId xmlns:a16="http://schemas.microsoft.com/office/drawing/2014/main" id="{891398BF-D582-4CDE-AF9A-11C390B50DEA}"/>
            </a:ext>
          </a:extLst>
        </xdr:cNvPr>
        <xdr:cNvPicPr>
          <a:picLocks noChangeAspect="1"/>
        </xdr:cNvPicPr>
      </xdr:nvPicPr>
      <xdr:blipFill>
        <a:blip xmlns:r="http://schemas.openxmlformats.org/officeDocument/2006/relationships" r:embed="rId1"/>
        <a:stretch>
          <a:fillRect/>
        </a:stretch>
      </xdr:blipFill>
      <xdr:spPr>
        <a:xfrm>
          <a:off x="8122341" y="39757"/>
          <a:ext cx="1553154" cy="444818"/>
        </a:xfrm>
        <a:prstGeom prst="rect">
          <a:avLst/>
        </a:prstGeom>
      </xdr:spPr>
    </xdr:pic>
    <xdr:clientData/>
  </xdr:oneCellAnchor>
  <xdr:oneCellAnchor>
    <xdr:from>
      <xdr:col>12</xdr:col>
      <xdr:colOff>944301</xdr:colOff>
      <xdr:row>0</xdr:row>
      <xdr:rowOff>39757</xdr:rowOff>
    </xdr:from>
    <xdr:ext cx="1549344" cy="446300"/>
    <xdr:pic>
      <xdr:nvPicPr>
        <xdr:cNvPr id="3" name="Picture 2" hidden="1">
          <a:extLst>
            <a:ext uri="{FF2B5EF4-FFF2-40B4-BE49-F238E27FC236}">
              <a16:creationId xmlns:a16="http://schemas.microsoft.com/office/drawing/2014/main" id="{02030D38-A803-4758-A102-3742787787FA}"/>
            </a:ext>
          </a:extLst>
        </xdr:cNvPr>
        <xdr:cNvPicPr>
          <a:picLocks noChangeAspect="1"/>
        </xdr:cNvPicPr>
      </xdr:nvPicPr>
      <xdr:blipFill>
        <a:blip xmlns:r="http://schemas.openxmlformats.org/officeDocument/2006/relationships" r:embed="rId1"/>
        <a:stretch>
          <a:fillRect/>
        </a:stretch>
      </xdr:blipFill>
      <xdr:spPr>
        <a:xfrm>
          <a:off x="8122341" y="39757"/>
          <a:ext cx="1549344" cy="446300"/>
        </a:xfrm>
        <a:prstGeom prst="rect">
          <a:avLst/>
        </a:prstGeom>
      </xdr:spPr>
    </xdr:pic>
    <xdr:clientData/>
  </xdr:oneCellAnchor>
  <xdr:oneCellAnchor>
    <xdr:from>
      <xdr:col>12</xdr:col>
      <xdr:colOff>944301</xdr:colOff>
      <xdr:row>0</xdr:row>
      <xdr:rowOff>0</xdr:rowOff>
    </xdr:from>
    <xdr:ext cx="1549344" cy="494964"/>
    <xdr:pic>
      <xdr:nvPicPr>
        <xdr:cNvPr id="4" name="Picture 3" hidden="1">
          <a:extLst>
            <a:ext uri="{FF2B5EF4-FFF2-40B4-BE49-F238E27FC236}">
              <a16:creationId xmlns:a16="http://schemas.microsoft.com/office/drawing/2014/main" id="{B79EB882-B670-46FA-A109-5AC4216FB93D}"/>
            </a:ext>
          </a:extLst>
        </xdr:cNvPr>
        <xdr:cNvPicPr>
          <a:picLocks noChangeAspect="1"/>
        </xdr:cNvPicPr>
      </xdr:nvPicPr>
      <xdr:blipFill>
        <a:blip xmlns:r="http://schemas.openxmlformats.org/officeDocument/2006/relationships" r:embed="rId1"/>
        <a:stretch>
          <a:fillRect/>
        </a:stretch>
      </xdr:blipFill>
      <xdr:spPr>
        <a:xfrm>
          <a:off x="8122341" y="0"/>
          <a:ext cx="1549344" cy="494964"/>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12</xdr:col>
      <xdr:colOff>944301</xdr:colOff>
      <xdr:row>0</xdr:row>
      <xdr:rowOff>39757</xdr:rowOff>
    </xdr:from>
    <xdr:ext cx="1553154" cy="445511"/>
    <xdr:pic>
      <xdr:nvPicPr>
        <xdr:cNvPr id="2" name="Picture 1" hidden="1">
          <a:extLst>
            <a:ext uri="{FF2B5EF4-FFF2-40B4-BE49-F238E27FC236}">
              <a16:creationId xmlns:a16="http://schemas.microsoft.com/office/drawing/2014/main" id="{BB3693EA-5878-4799-9CED-B2039CCB0A68}"/>
            </a:ext>
          </a:extLst>
        </xdr:cNvPr>
        <xdr:cNvPicPr>
          <a:picLocks noChangeAspect="1"/>
        </xdr:cNvPicPr>
      </xdr:nvPicPr>
      <xdr:blipFill>
        <a:blip xmlns:r="http://schemas.openxmlformats.org/officeDocument/2006/relationships" r:embed="rId1"/>
        <a:stretch>
          <a:fillRect/>
        </a:stretch>
      </xdr:blipFill>
      <xdr:spPr>
        <a:xfrm>
          <a:off x="14946051" y="39757"/>
          <a:ext cx="1553154" cy="445511"/>
        </a:xfrm>
        <a:prstGeom prst="rect">
          <a:avLst/>
        </a:prstGeom>
      </xdr:spPr>
    </xdr:pic>
    <xdr:clientData/>
  </xdr:oneCellAnchor>
  <xdr:oneCellAnchor>
    <xdr:from>
      <xdr:col>12</xdr:col>
      <xdr:colOff>944301</xdr:colOff>
      <xdr:row>0</xdr:row>
      <xdr:rowOff>39757</xdr:rowOff>
    </xdr:from>
    <xdr:ext cx="1553154" cy="443183"/>
    <xdr:pic>
      <xdr:nvPicPr>
        <xdr:cNvPr id="3" name="Picture 2" hidden="1">
          <a:extLst>
            <a:ext uri="{FF2B5EF4-FFF2-40B4-BE49-F238E27FC236}">
              <a16:creationId xmlns:a16="http://schemas.microsoft.com/office/drawing/2014/main" id="{1AC34244-0B8A-46BB-9146-6E01A7630D9C}"/>
            </a:ext>
          </a:extLst>
        </xdr:cNvPr>
        <xdr:cNvPicPr>
          <a:picLocks noChangeAspect="1"/>
        </xdr:cNvPicPr>
      </xdr:nvPicPr>
      <xdr:blipFill>
        <a:blip xmlns:r="http://schemas.openxmlformats.org/officeDocument/2006/relationships" r:embed="rId1"/>
        <a:stretch>
          <a:fillRect/>
        </a:stretch>
      </xdr:blipFill>
      <xdr:spPr>
        <a:xfrm>
          <a:off x="14946051" y="39757"/>
          <a:ext cx="1553154" cy="443183"/>
        </a:xfrm>
        <a:prstGeom prst="rect">
          <a:avLst/>
        </a:prstGeom>
      </xdr:spPr>
    </xdr:pic>
    <xdr:clientData/>
  </xdr:oneCellAnchor>
  <xdr:oneCellAnchor>
    <xdr:from>
      <xdr:col>12</xdr:col>
      <xdr:colOff>944301</xdr:colOff>
      <xdr:row>0</xdr:row>
      <xdr:rowOff>0</xdr:rowOff>
    </xdr:from>
    <xdr:ext cx="1553154" cy="498428"/>
    <xdr:pic>
      <xdr:nvPicPr>
        <xdr:cNvPr id="4" name="Picture 3" hidden="1">
          <a:extLst>
            <a:ext uri="{FF2B5EF4-FFF2-40B4-BE49-F238E27FC236}">
              <a16:creationId xmlns:a16="http://schemas.microsoft.com/office/drawing/2014/main" id="{64244045-7D95-45C1-BF54-B72010DB49B2}"/>
            </a:ext>
          </a:extLst>
        </xdr:cNvPr>
        <xdr:cNvPicPr>
          <a:picLocks noChangeAspect="1"/>
        </xdr:cNvPicPr>
      </xdr:nvPicPr>
      <xdr:blipFill>
        <a:blip xmlns:r="http://schemas.openxmlformats.org/officeDocument/2006/relationships" r:embed="rId1"/>
        <a:stretch>
          <a:fillRect/>
        </a:stretch>
      </xdr:blipFill>
      <xdr:spPr>
        <a:xfrm>
          <a:off x="14946051" y="0"/>
          <a:ext cx="1553154" cy="49842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13</xdr:col>
      <xdr:colOff>944301</xdr:colOff>
      <xdr:row>0</xdr:row>
      <xdr:rowOff>39757</xdr:rowOff>
    </xdr:from>
    <xdr:ext cx="1553154" cy="445511"/>
    <xdr:pic>
      <xdr:nvPicPr>
        <xdr:cNvPr id="2" name="Picture 1" hidden="1">
          <a:extLst>
            <a:ext uri="{FF2B5EF4-FFF2-40B4-BE49-F238E27FC236}">
              <a16:creationId xmlns:a16="http://schemas.microsoft.com/office/drawing/2014/main" id="{F142A6A5-E3DA-4316-92BC-F9E0778A3BD2}"/>
            </a:ext>
          </a:extLst>
        </xdr:cNvPr>
        <xdr:cNvPicPr>
          <a:picLocks noChangeAspect="1"/>
        </xdr:cNvPicPr>
      </xdr:nvPicPr>
      <xdr:blipFill>
        <a:blip xmlns:r="http://schemas.openxmlformats.org/officeDocument/2006/relationships" r:embed="rId1"/>
        <a:stretch>
          <a:fillRect/>
        </a:stretch>
      </xdr:blipFill>
      <xdr:spPr>
        <a:xfrm>
          <a:off x="8122341" y="39757"/>
          <a:ext cx="1553154" cy="445511"/>
        </a:xfrm>
        <a:prstGeom prst="rect">
          <a:avLst/>
        </a:prstGeom>
      </xdr:spPr>
    </xdr:pic>
    <xdr:clientData/>
  </xdr:oneCellAnchor>
  <xdr:oneCellAnchor>
    <xdr:from>
      <xdr:col>13</xdr:col>
      <xdr:colOff>944301</xdr:colOff>
      <xdr:row>0</xdr:row>
      <xdr:rowOff>39757</xdr:rowOff>
    </xdr:from>
    <xdr:ext cx="1553154" cy="443183"/>
    <xdr:pic>
      <xdr:nvPicPr>
        <xdr:cNvPr id="3" name="Picture 2" hidden="1">
          <a:extLst>
            <a:ext uri="{FF2B5EF4-FFF2-40B4-BE49-F238E27FC236}">
              <a16:creationId xmlns:a16="http://schemas.microsoft.com/office/drawing/2014/main" id="{E8C47C0A-916D-4BF9-A365-FC75D9C84F48}"/>
            </a:ext>
          </a:extLst>
        </xdr:cNvPr>
        <xdr:cNvPicPr>
          <a:picLocks noChangeAspect="1"/>
        </xdr:cNvPicPr>
      </xdr:nvPicPr>
      <xdr:blipFill>
        <a:blip xmlns:r="http://schemas.openxmlformats.org/officeDocument/2006/relationships" r:embed="rId1"/>
        <a:stretch>
          <a:fillRect/>
        </a:stretch>
      </xdr:blipFill>
      <xdr:spPr>
        <a:xfrm>
          <a:off x="8122341" y="39757"/>
          <a:ext cx="1553154" cy="443183"/>
        </a:xfrm>
        <a:prstGeom prst="rect">
          <a:avLst/>
        </a:prstGeom>
      </xdr:spPr>
    </xdr:pic>
    <xdr:clientData/>
  </xdr:oneCellAnchor>
  <xdr:oneCellAnchor>
    <xdr:from>
      <xdr:col>13</xdr:col>
      <xdr:colOff>944301</xdr:colOff>
      <xdr:row>0</xdr:row>
      <xdr:rowOff>0</xdr:rowOff>
    </xdr:from>
    <xdr:ext cx="1553154" cy="498428"/>
    <xdr:pic>
      <xdr:nvPicPr>
        <xdr:cNvPr id="4" name="Picture 3" hidden="1">
          <a:extLst>
            <a:ext uri="{FF2B5EF4-FFF2-40B4-BE49-F238E27FC236}">
              <a16:creationId xmlns:a16="http://schemas.microsoft.com/office/drawing/2014/main" id="{3A811861-16B9-412B-A778-288FC59ED5EF}"/>
            </a:ext>
          </a:extLst>
        </xdr:cNvPr>
        <xdr:cNvPicPr>
          <a:picLocks noChangeAspect="1"/>
        </xdr:cNvPicPr>
      </xdr:nvPicPr>
      <xdr:blipFill>
        <a:blip xmlns:r="http://schemas.openxmlformats.org/officeDocument/2006/relationships" r:embed="rId1"/>
        <a:stretch>
          <a:fillRect/>
        </a:stretch>
      </xdr:blipFill>
      <xdr:spPr>
        <a:xfrm>
          <a:off x="8122341" y="0"/>
          <a:ext cx="1553154" cy="498428"/>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13</xdr:col>
      <xdr:colOff>944301</xdr:colOff>
      <xdr:row>0</xdr:row>
      <xdr:rowOff>39757</xdr:rowOff>
    </xdr:from>
    <xdr:ext cx="1553154" cy="445511"/>
    <xdr:pic>
      <xdr:nvPicPr>
        <xdr:cNvPr id="2" name="Picture 1" hidden="1">
          <a:extLst>
            <a:ext uri="{FF2B5EF4-FFF2-40B4-BE49-F238E27FC236}">
              <a16:creationId xmlns:a16="http://schemas.microsoft.com/office/drawing/2014/main" id="{5DB995DD-D2D2-4B86-9B8E-A1E0C3A3C156}"/>
            </a:ext>
          </a:extLst>
        </xdr:cNvPr>
        <xdr:cNvPicPr>
          <a:picLocks noChangeAspect="1"/>
        </xdr:cNvPicPr>
      </xdr:nvPicPr>
      <xdr:blipFill>
        <a:blip xmlns:r="http://schemas.openxmlformats.org/officeDocument/2006/relationships" r:embed="rId1"/>
        <a:stretch>
          <a:fillRect/>
        </a:stretch>
      </xdr:blipFill>
      <xdr:spPr>
        <a:xfrm>
          <a:off x="12907701" y="0"/>
          <a:ext cx="1553154" cy="445511"/>
        </a:xfrm>
        <a:prstGeom prst="rect">
          <a:avLst/>
        </a:prstGeom>
      </xdr:spPr>
    </xdr:pic>
    <xdr:clientData/>
  </xdr:oneCellAnchor>
  <xdr:oneCellAnchor>
    <xdr:from>
      <xdr:col>13</xdr:col>
      <xdr:colOff>944301</xdr:colOff>
      <xdr:row>0</xdr:row>
      <xdr:rowOff>39757</xdr:rowOff>
    </xdr:from>
    <xdr:ext cx="1553154" cy="443183"/>
    <xdr:pic>
      <xdr:nvPicPr>
        <xdr:cNvPr id="3" name="Picture 2" hidden="1">
          <a:extLst>
            <a:ext uri="{FF2B5EF4-FFF2-40B4-BE49-F238E27FC236}">
              <a16:creationId xmlns:a16="http://schemas.microsoft.com/office/drawing/2014/main" id="{D6611F6A-E992-4DC5-9B35-6A77947CE378}"/>
            </a:ext>
          </a:extLst>
        </xdr:cNvPr>
        <xdr:cNvPicPr>
          <a:picLocks noChangeAspect="1"/>
        </xdr:cNvPicPr>
      </xdr:nvPicPr>
      <xdr:blipFill>
        <a:blip xmlns:r="http://schemas.openxmlformats.org/officeDocument/2006/relationships" r:embed="rId1"/>
        <a:stretch>
          <a:fillRect/>
        </a:stretch>
      </xdr:blipFill>
      <xdr:spPr>
        <a:xfrm>
          <a:off x="12907701" y="0"/>
          <a:ext cx="1553154" cy="443183"/>
        </a:xfrm>
        <a:prstGeom prst="rect">
          <a:avLst/>
        </a:prstGeom>
      </xdr:spPr>
    </xdr:pic>
    <xdr:clientData/>
  </xdr:oneCellAnchor>
  <xdr:oneCellAnchor>
    <xdr:from>
      <xdr:col>13</xdr:col>
      <xdr:colOff>944301</xdr:colOff>
      <xdr:row>0</xdr:row>
      <xdr:rowOff>0</xdr:rowOff>
    </xdr:from>
    <xdr:ext cx="1553154" cy="498428"/>
    <xdr:pic>
      <xdr:nvPicPr>
        <xdr:cNvPr id="4" name="Picture 3" hidden="1">
          <a:extLst>
            <a:ext uri="{FF2B5EF4-FFF2-40B4-BE49-F238E27FC236}">
              <a16:creationId xmlns:a16="http://schemas.microsoft.com/office/drawing/2014/main" id="{20276970-1398-4540-8F86-83B05E2356D3}"/>
            </a:ext>
          </a:extLst>
        </xdr:cNvPr>
        <xdr:cNvPicPr>
          <a:picLocks noChangeAspect="1"/>
        </xdr:cNvPicPr>
      </xdr:nvPicPr>
      <xdr:blipFill>
        <a:blip xmlns:r="http://schemas.openxmlformats.org/officeDocument/2006/relationships" r:embed="rId1"/>
        <a:stretch>
          <a:fillRect/>
        </a:stretch>
      </xdr:blipFill>
      <xdr:spPr>
        <a:xfrm>
          <a:off x="12907701" y="0"/>
          <a:ext cx="1553154" cy="498428"/>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15</xdr:col>
      <xdr:colOff>944301</xdr:colOff>
      <xdr:row>0</xdr:row>
      <xdr:rowOff>39757</xdr:rowOff>
    </xdr:from>
    <xdr:ext cx="1553154" cy="445511"/>
    <xdr:pic>
      <xdr:nvPicPr>
        <xdr:cNvPr id="2" name="Picture 1" hidden="1">
          <a:extLst>
            <a:ext uri="{FF2B5EF4-FFF2-40B4-BE49-F238E27FC236}">
              <a16:creationId xmlns:a16="http://schemas.microsoft.com/office/drawing/2014/main" id="{C45018DE-4E50-4C82-A2B4-E5D7C4124BD0}"/>
            </a:ext>
          </a:extLst>
        </xdr:cNvPr>
        <xdr:cNvPicPr>
          <a:picLocks noChangeAspect="1"/>
        </xdr:cNvPicPr>
      </xdr:nvPicPr>
      <xdr:blipFill>
        <a:blip xmlns:r="http://schemas.openxmlformats.org/officeDocument/2006/relationships" r:embed="rId1"/>
        <a:stretch>
          <a:fillRect/>
        </a:stretch>
      </xdr:blipFill>
      <xdr:spPr>
        <a:xfrm>
          <a:off x="14946051" y="39757"/>
          <a:ext cx="1553154" cy="445511"/>
        </a:xfrm>
        <a:prstGeom prst="rect">
          <a:avLst/>
        </a:prstGeom>
      </xdr:spPr>
    </xdr:pic>
    <xdr:clientData/>
  </xdr:oneCellAnchor>
  <xdr:oneCellAnchor>
    <xdr:from>
      <xdr:col>15</xdr:col>
      <xdr:colOff>944301</xdr:colOff>
      <xdr:row>0</xdr:row>
      <xdr:rowOff>39757</xdr:rowOff>
    </xdr:from>
    <xdr:ext cx="1553154" cy="443183"/>
    <xdr:pic>
      <xdr:nvPicPr>
        <xdr:cNvPr id="3" name="Picture 2" hidden="1">
          <a:extLst>
            <a:ext uri="{FF2B5EF4-FFF2-40B4-BE49-F238E27FC236}">
              <a16:creationId xmlns:a16="http://schemas.microsoft.com/office/drawing/2014/main" id="{A12AF902-831B-4810-8160-B80417CAF168}"/>
            </a:ext>
          </a:extLst>
        </xdr:cNvPr>
        <xdr:cNvPicPr>
          <a:picLocks noChangeAspect="1"/>
        </xdr:cNvPicPr>
      </xdr:nvPicPr>
      <xdr:blipFill>
        <a:blip xmlns:r="http://schemas.openxmlformats.org/officeDocument/2006/relationships" r:embed="rId1"/>
        <a:stretch>
          <a:fillRect/>
        </a:stretch>
      </xdr:blipFill>
      <xdr:spPr>
        <a:xfrm>
          <a:off x="14946051" y="39757"/>
          <a:ext cx="1553154" cy="443183"/>
        </a:xfrm>
        <a:prstGeom prst="rect">
          <a:avLst/>
        </a:prstGeom>
      </xdr:spPr>
    </xdr:pic>
    <xdr:clientData/>
  </xdr:oneCellAnchor>
  <xdr:oneCellAnchor>
    <xdr:from>
      <xdr:col>15</xdr:col>
      <xdr:colOff>944301</xdr:colOff>
      <xdr:row>0</xdr:row>
      <xdr:rowOff>0</xdr:rowOff>
    </xdr:from>
    <xdr:ext cx="1553154" cy="498428"/>
    <xdr:pic>
      <xdr:nvPicPr>
        <xdr:cNvPr id="4" name="Picture 3" hidden="1">
          <a:extLst>
            <a:ext uri="{FF2B5EF4-FFF2-40B4-BE49-F238E27FC236}">
              <a16:creationId xmlns:a16="http://schemas.microsoft.com/office/drawing/2014/main" id="{988BFB4F-3E38-4B10-9B96-0B2BEFE3BB04}"/>
            </a:ext>
          </a:extLst>
        </xdr:cNvPr>
        <xdr:cNvPicPr>
          <a:picLocks noChangeAspect="1"/>
        </xdr:cNvPicPr>
      </xdr:nvPicPr>
      <xdr:blipFill>
        <a:blip xmlns:r="http://schemas.openxmlformats.org/officeDocument/2006/relationships" r:embed="rId1"/>
        <a:stretch>
          <a:fillRect/>
        </a:stretch>
      </xdr:blipFill>
      <xdr:spPr>
        <a:xfrm>
          <a:off x="14946051" y="0"/>
          <a:ext cx="1553154" cy="498428"/>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13</xdr:col>
      <xdr:colOff>944301</xdr:colOff>
      <xdr:row>0</xdr:row>
      <xdr:rowOff>39757</xdr:rowOff>
    </xdr:from>
    <xdr:ext cx="1553154" cy="445511"/>
    <xdr:pic>
      <xdr:nvPicPr>
        <xdr:cNvPr id="2" name="Picture 1" hidden="1">
          <a:extLst>
            <a:ext uri="{FF2B5EF4-FFF2-40B4-BE49-F238E27FC236}">
              <a16:creationId xmlns:a16="http://schemas.microsoft.com/office/drawing/2014/main" id="{50C9C34E-B4CB-49C2-9FAA-5AF498CCF8AD}"/>
            </a:ext>
          </a:extLst>
        </xdr:cNvPr>
        <xdr:cNvPicPr>
          <a:picLocks noChangeAspect="1"/>
        </xdr:cNvPicPr>
      </xdr:nvPicPr>
      <xdr:blipFill>
        <a:blip xmlns:r="http://schemas.openxmlformats.org/officeDocument/2006/relationships" r:embed="rId1"/>
        <a:stretch>
          <a:fillRect/>
        </a:stretch>
      </xdr:blipFill>
      <xdr:spPr>
        <a:xfrm>
          <a:off x="13631601" y="0"/>
          <a:ext cx="1553154" cy="445511"/>
        </a:xfrm>
        <a:prstGeom prst="rect">
          <a:avLst/>
        </a:prstGeom>
      </xdr:spPr>
    </xdr:pic>
    <xdr:clientData/>
  </xdr:oneCellAnchor>
  <xdr:oneCellAnchor>
    <xdr:from>
      <xdr:col>13</xdr:col>
      <xdr:colOff>944301</xdr:colOff>
      <xdr:row>0</xdr:row>
      <xdr:rowOff>39757</xdr:rowOff>
    </xdr:from>
    <xdr:ext cx="1553154" cy="443183"/>
    <xdr:pic>
      <xdr:nvPicPr>
        <xdr:cNvPr id="3" name="Picture 2" hidden="1">
          <a:extLst>
            <a:ext uri="{FF2B5EF4-FFF2-40B4-BE49-F238E27FC236}">
              <a16:creationId xmlns:a16="http://schemas.microsoft.com/office/drawing/2014/main" id="{6FD34DB9-AB06-4E06-98FB-AE5F4A85C609}"/>
            </a:ext>
          </a:extLst>
        </xdr:cNvPr>
        <xdr:cNvPicPr>
          <a:picLocks noChangeAspect="1"/>
        </xdr:cNvPicPr>
      </xdr:nvPicPr>
      <xdr:blipFill>
        <a:blip xmlns:r="http://schemas.openxmlformats.org/officeDocument/2006/relationships" r:embed="rId1"/>
        <a:stretch>
          <a:fillRect/>
        </a:stretch>
      </xdr:blipFill>
      <xdr:spPr>
        <a:xfrm>
          <a:off x="13631601" y="0"/>
          <a:ext cx="1553154" cy="443183"/>
        </a:xfrm>
        <a:prstGeom prst="rect">
          <a:avLst/>
        </a:prstGeom>
      </xdr:spPr>
    </xdr:pic>
    <xdr:clientData/>
  </xdr:oneCellAnchor>
  <xdr:oneCellAnchor>
    <xdr:from>
      <xdr:col>13</xdr:col>
      <xdr:colOff>944301</xdr:colOff>
      <xdr:row>0</xdr:row>
      <xdr:rowOff>0</xdr:rowOff>
    </xdr:from>
    <xdr:ext cx="1553154" cy="498428"/>
    <xdr:pic>
      <xdr:nvPicPr>
        <xdr:cNvPr id="4" name="Picture 3" hidden="1">
          <a:extLst>
            <a:ext uri="{FF2B5EF4-FFF2-40B4-BE49-F238E27FC236}">
              <a16:creationId xmlns:a16="http://schemas.microsoft.com/office/drawing/2014/main" id="{DED7E6F2-C1C7-4C3B-8986-7E805FC54007}"/>
            </a:ext>
          </a:extLst>
        </xdr:cNvPr>
        <xdr:cNvPicPr>
          <a:picLocks noChangeAspect="1"/>
        </xdr:cNvPicPr>
      </xdr:nvPicPr>
      <xdr:blipFill>
        <a:blip xmlns:r="http://schemas.openxmlformats.org/officeDocument/2006/relationships" r:embed="rId1"/>
        <a:stretch>
          <a:fillRect/>
        </a:stretch>
      </xdr:blipFill>
      <xdr:spPr>
        <a:xfrm>
          <a:off x="13631601" y="0"/>
          <a:ext cx="1553154" cy="498428"/>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13</xdr:col>
      <xdr:colOff>944301</xdr:colOff>
      <xdr:row>0</xdr:row>
      <xdr:rowOff>39757</xdr:rowOff>
    </xdr:from>
    <xdr:ext cx="1553154" cy="445511"/>
    <xdr:pic>
      <xdr:nvPicPr>
        <xdr:cNvPr id="2" name="Picture 1" hidden="1">
          <a:extLst>
            <a:ext uri="{FF2B5EF4-FFF2-40B4-BE49-F238E27FC236}">
              <a16:creationId xmlns:a16="http://schemas.microsoft.com/office/drawing/2014/main" id="{B46A138B-3C76-432C-8B4E-51D1945CBE85}"/>
            </a:ext>
          </a:extLst>
        </xdr:cNvPr>
        <xdr:cNvPicPr>
          <a:picLocks noChangeAspect="1"/>
        </xdr:cNvPicPr>
      </xdr:nvPicPr>
      <xdr:blipFill>
        <a:blip xmlns:r="http://schemas.openxmlformats.org/officeDocument/2006/relationships" r:embed="rId1"/>
        <a:stretch>
          <a:fillRect/>
        </a:stretch>
      </xdr:blipFill>
      <xdr:spPr>
        <a:xfrm>
          <a:off x="21451626" y="0"/>
          <a:ext cx="1553154" cy="445511"/>
        </a:xfrm>
        <a:prstGeom prst="rect">
          <a:avLst/>
        </a:prstGeom>
      </xdr:spPr>
    </xdr:pic>
    <xdr:clientData/>
  </xdr:oneCellAnchor>
  <xdr:oneCellAnchor>
    <xdr:from>
      <xdr:col>13</xdr:col>
      <xdr:colOff>944301</xdr:colOff>
      <xdr:row>0</xdr:row>
      <xdr:rowOff>39757</xdr:rowOff>
    </xdr:from>
    <xdr:ext cx="1553154" cy="443183"/>
    <xdr:pic>
      <xdr:nvPicPr>
        <xdr:cNvPr id="3" name="Picture 2" hidden="1">
          <a:extLst>
            <a:ext uri="{FF2B5EF4-FFF2-40B4-BE49-F238E27FC236}">
              <a16:creationId xmlns:a16="http://schemas.microsoft.com/office/drawing/2014/main" id="{6AA9EFEB-B0EC-4C4A-B3D5-9A3AA4FE734C}"/>
            </a:ext>
          </a:extLst>
        </xdr:cNvPr>
        <xdr:cNvPicPr>
          <a:picLocks noChangeAspect="1"/>
        </xdr:cNvPicPr>
      </xdr:nvPicPr>
      <xdr:blipFill>
        <a:blip xmlns:r="http://schemas.openxmlformats.org/officeDocument/2006/relationships" r:embed="rId1"/>
        <a:stretch>
          <a:fillRect/>
        </a:stretch>
      </xdr:blipFill>
      <xdr:spPr>
        <a:xfrm>
          <a:off x="21451626" y="0"/>
          <a:ext cx="1553154" cy="443183"/>
        </a:xfrm>
        <a:prstGeom prst="rect">
          <a:avLst/>
        </a:prstGeom>
      </xdr:spPr>
    </xdr:pic>
    <xdr:clientData/>
  </xdr:oneCellAnchor>
  <xdr:oneCellAnchor>
    <xdr:from>
      <xdr:col>13</xdr:col>
      <xdr:colOff>944301</xdr:colOff>
      <xdr:row>0</xdr:row>
      <xdr:rowOff>0</xdr:rowOff>
    </xdr:from>
    <xdr:ext cx="1553154" cy="498428"/>
    <xdr:pic>
      <xdr:nvPicPr>
        <xdr:cNvPr id="4" name="Picture 3" hidden="1">
          <a:extLst>
            <a:ext uri="{FF2B5EF4-FFF2-40B4-BE49-F238E27FC236}">
              <a16:creationId xmlns:a16="http://schemas.microsoft.com/office/drawing/2014/main" id="{1B23B6CA-C65A-461D-86A1-1C86F50811EE}"/>
            </a:ext>
          </a:extLst>
        </xdr:cNvPr>
        <xdr:cNvPicPr>
          <a:picLocks noChangeAspect="1"/>
        </xdr:cNvPicPr>
      </xdr:nvPicPr>
      <xdr:blipFill>
        <a:blip xmlns:r="http://schemas.openxmlformats.org/officeDocument/2006/relationships" r:embed="rId1"/>
        <a:stretch>
          <a:fillRect/>
        </a:stretch>
      </xdr:blipFill>
      <xdr:spPr>
        <a:xfrm>
          <a:off x="21451626" y="0"/>
          <a:ext cx="1553154" cy="498428"/>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12</xdr:col>
      <xdr:colOff>944301</xdr:colOff>
      <xdr:row>0</xdr:row>
      <xdr:rowOff>39757</xdr:rowOff>
    </xdr:from>
    <xdr:ext cx="1553154" cy="445511"/>
    <xdr:pic>
      <xdr:nvPicPr>
        <xdr:cNvPr id="2" name="Picture 1" hidden="1">
          <a:extLst>
            <a:ext uri="{FF2B5EF4-FFF2-40B4-BE49-F238E27FC236}">
              <a16:creationId xmlns:a16="http://schemas.microsoft.com/office/drawing/2014/main" id="{EB7F5643-8663-446D-918D-A9D599EFB69B}"/>
            </a:ext>
          </a:extLst>
        </xdr:cNvPr>
        <xdr:cNvPicPr>
          <a:picLocks noChangeAspect="1"/>
        </xdr:cNvPicPr>
      </xdr:nvPicPr>
      <xdr:blipFill>
        <a:blip xmlns:r="http://schemas.openxmlformats.org/officeDocument/2006/relationships" r:embed="rId1"/>
        <a:stretch>
          <a:fillRect/>
        </a:stretch>
      </xdr:blipFill>
      <xdr:spPr>
        <a:xfrm>
          <a:off x="15330861" y="39757"/>
          <a:ext cx="1553154" cy="445511"/>
        </a:xfrm>
        <a:prstGeom prst="rect">
          <a:avLst/>
        </a:prstGeom>
      </xdr:spPr>
    </xdr:pic>
    <xdr:clientData/>
  </xdr:oneCellAnchor>
  <xdr:oneCellAnchor>
    <xdr:from>
      <xdr:col>12</xdr:col>
      <xdr:colOff>944301</xdr:colOff>
      <xdr:row>0</xdr:row>
      <xdr:rowOff>39757</xdr:rowOff>
    </xdr:from>
    <xdr:ext cx="1553154" cy="443183"/>
    <xdr:pic>
      <xdr:nvPicPr>
        <xdr:cNvPr id="3" name="Picture 2" hidden="1">
          <a:extLst>
            <a:ext uri="{FF2B5EF4-FFF2-40B4-BE49-F238E27FC236}">
              <a16:creationId xmlns:a16="http://schemas.microsoft.com/office/drawing/2014/main" id="{A1A3714B-C869-40DC-96CD-B8A8DDB6F43E}"/>
            </a:ext>
          </a:extLst>
        </xdr:cNvPr>
        <xdr:cNvPicPr>
          <a:picLocks noChangeAspect="1"/>
        </xdr:cNvPicPr>
      </xdr:nvPicPr>
      <xdr:blipFill>
        <a:blip xmlns:r="http://schemas.openxmlformats.org/officeDocument/2006/relationships" r:embed="rId1"/>
        <a:stretch>
          <a:fillRect/>
        </a:stretch>
      </xdr:blipFill>
      <xdr:spPr>
        <a:xfrm>
          <a:off x="15330861" y="39757"/>
          <a:ext cx="1553154" cy="443183"/>
        </a:xfrm>
        <a:prstGeom prst="rect">
          <a:avLst/>
        </a:prstGeom>
      </xdr:spPr>
    </xdr:pic>
    <xdr:clientData/>
  </xdr:oneCellAnchor>
  <xdr:oneCellAnchor>
    <xdr:from>
      <xdr:col>12</xdr:col>
      <xdr:colOff>944301</xdr:colOff>
      <xdr:row>0</xdr:row>
      <xdr:rowOff>0</xdr:rowOff>
    </xdr:from>
    <xdr:ext cx="1553154" cy="498428"/>
    <xdr:pic>
      <xdr:nvPicPr>
        <xdr:cNvPr id="4" name="Picture 3" hidden="1">
          <a:extLst>
            <a:ext uri="{FF2B5EF4-FFF2-40B4-BE49-F238E27FC236}">
              <a16:creationId xmlns:a16="http://schemas.microsoft.com/office/drawing/2014/main" id="{F3581708-B5B4-4A23-99B3-58DAC47799AD}"/>
            </a:ext>
          </a:extLst>
        </xdr:cNvPr>
        <xdr:cNvPicPr>
          <a:picLocks noChangeAspect="1"/>
        </xdr:cNvPicPr>
      </xdr:nvPicPr>
      <xdr:blipFill>
        <a:blip xmlns:r="http://schemas.openxmlformats.org/officeDocument/2006/relationships" r:embed="rId1"/>
        <a:stretch>
          <a:fillRect/>
        </a:stretch>
      </xdr:blipFill>
      <xdr:spPr>
        <a:xfrm>
          <a:off x="15330861" y="0"/>
          <a:ext cx="1553154" cy="498428"/>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12</xdr:col>
      <xdr:colOff>944301</xdr:colOff>
      <xdr:row>0</xdr:row>
      <xdr:rowOff>39757</xdr:rowOff>
    </xdr:from>
    <xdr:ext cx="1553154" cy="445511"/>
    <xdr:pic>
      <xdr:nvPicPr>
        <xdr:cNvPr id="2" name="Picture 1" hidden="1">
          <a:extLst>
            <a:ext uri="{FF2B5EF4-FFF2-40B4-BE49-F238E27FC236}">
              <a16:creationId xmlns:a16="http://schemas.microsoft.com/office/drawing/2014/main" id="{9BEC5FD2-8FA5-4D4A-A774-025C0C5C19F4}"/>
            </a:ext>
          </a:extLst>
        </xdr:cNvPr>
        <xdr:cNvPicPr>
          <a:picLocks noChangeAspect="1"/>
        </xdr:cNvPicPr>
      </xdr:nvPicPr>
      <xdr:blipFill>
        <a:blip xmlns:r="http://schemas.openxmlformats.org/officeDocument/2006/relationships" r:embed="rId1"/>
        <a:stretch>
          <a:fillRect/>
        </a:stretch>
      </xdr:blipFill>
      <xdr:spPr>
        <a:xfrm>
          <a:off x="15330861" y="39757"/>
          <a:ext cx="1553154" cy="445511"/>
        </a:xfrm>
        <a:prstGeom prst="rect">
          <a:avLst/>
        </a:prstGeom>
      </xdr:spPr>
    </xdr:pic>
    <xdr:clientData/>
  </xdr:oneCellAnchor>
  <xdr:oneCellAnchor>
    <xdr:from>
      <xdr:col>12</xdr:col>
      <xdr:colOff>944301</xdr:colOff>
      <xdr:row>0</xdr:row>
      <xdr:rowOff>39757</xdr:rowOff>
    </xdr:from>
    <xdr:ext cx="1553154" cy="443183"/>
    <xdr:pic>
      <xdr:nvPicPr>
        <xdr:cNvPr id="3" name="Picture 2" hidden="1">
          <a:extLst>
            <a:ext uri="{FF2B5EF4-FFF2-40B4-BE49-F238E27FC236}">
              <a16:creationId xmlns:a16="http://schemas.microsoft.com/office/drawing/2014/main" id="{2D01C582-DF1E-4868-A566-3889F2D5DF43}"/>
            </a:ext>
          </a:extLst>
        </xdr:cNvPr>
        <xdr:cNvPicPr>
          <a:picLocks noChangeAspect="1"/>
        </xdr:cNvPicPr>
      </xdr:nvPicPr>
      <xdr:blipFill>
        <a:blip xmlns:r="http://schemas.openxmlformats.org/officeDocument/2006/relationships" r:embed="rId1"/>
        <a:stretch>
          <a:fillRect/>
        </a:stretch>
      </xdr:blipFill>
      <xdr:spPr>
        <a:xfrm>
          <a:off x="15330861" y="39757"/>
          <a:ext cx="1553154" cy="443183"/>
        </a:xfrm>
        <a:prstGeom prst="rect">
          <a:avLst/>
        </a:prstGeom>
      </xdr:spPr>
    </xdr:pic>
    <xdr:clientData/>
  </xdr:oneCellAnchor>
  <xdr:oneCellAnchor>
    <xdr:from>
      <xdr:col>12</xdr:col>
      <xdr:colOff>944301</xdr:colOff>
      <xdr:row>0</xdr:row>
      <xdr:rowOff>0</xdr:rowOff>
    </xdr:from>
    <xdr:ext cx="1553154" cy="498428"/>
    <xdr:pic>
      <xdr:nvPicPr>
        <xdr:cNvPr id="4" name="Picture 3" hidden="1">
          <a:extLst>
            <a:ext uri="{FF2B5EF4-FFF2-40B4-BE49-F238E27FC236}">
              <a16:creationId xmlns:a16="http://schemas.microsoft.com/office/drawing/2014/main" id="{A92C1DFF-15F9-4F02-9673-59A072DE9F16}"/>
            </a:ext>
          </a:extLst>
        </xdr:cNvPr>
        <xdr:cNvPicPr>
          <a:picLocks noChangeAspect="1"/>
        </xdr:cNvPicPr>
      </xdr:nvPicPr>
      <xdr:blipFill>
        <a:blip xmlns:r="http://schemas.openxmlformats.org/officeDocument/2006/relationships" r:embed="rId1"/>
        <a:stretch>
          <a:fillRect/>
        </a:stretch>
      </xdr:blipFill>
      <xdr:spPr>
        <a:xfrm>
          <a:off x="15330861" y="0"/>
          <a:ext cx="1553154" cy="498428"/>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12</xdr:col>
      <xdr:colOff>944301</xdr:colOff>
      <xdr:row>0</xdr:row>
      <xdr:rowOff>39757</xdr:rowOff>
    </xdr:from>
    <xdr:ext cx="1553154" cy="445511"/>
    <xdr:pic>
      <xdr:nvPicPr>
        <xdr:cNvPr id="2" name="Picture 1" hidden="1">
          <a:extLst>
            <a:ext uri="{FF2B5EF4-FFF2-40B4-BE49-F238E27FC236}">
              <a16:creationId xmlns:a16="http://schemas.microsoft.com/office/drawing/2014/main" id="{323009CF-B069-4462-9E68-26975CAA426B}"/>
            </a:ext>
          </a:extLst>
        </xdr:cNvPr>
        <xdr:cNvPicPr>
          <a:picLocks noChangeAspect="1"/>
        </xdr:cNvPicPr>
      </xdr:nvPicPr>
      <xdr:blipFill>
        <a:blip xmlns:r="http://schemas.openxmlformats.org/officeDocument/2006/relationships" r:embed="rId1"/>
        <a:stretch>
          <a:fillRect/>
        </a:stretch>
      </xdr:blipFill>
      <xdr:spPr>
        <a:xfrm>
          <a:off x="15330861" y="39757"/>
          <a:ext cx="1553154" cy="445511"/>
        </a:xfrm>
        <a:prstGeom prst="rect">
          <a:avLst/>
        </a:prstGeom>
      </xdr:spPr>
    </xdr:pic>
    <xdr:clientData/>
  </xdr:oneCellAnchor>
  <xdr:oneCellAnchor>
    <xdr:from>
      <xdr:col>12</xdr:col>
      <xdr:colOff>944301</xdr:colOff>
      <xdr:row>0</xdr:row>
      <xdr:rowOff>39757</xdr:rowOff>
    </xdr:from>
    <xdr:ext cx="1553154" cy="443183"/>
    <xdr:pic>
      <xdr:nvPicPr>
        <xdr:cNvPr id="3" name="Picture 2" hidden="1">
          <a:extLst>
            <a:ext uri="{FF2B5EF4-FFF2-40B4-BE49-F238E27FC236}">
              <a16:creationId xmlns:a16="http://schemas.microsoft.com/office/drawing/2014/main" id="{3759F6EC-51F4-41CA-A899-AC0BD4E72F66}"/>
            </a:ext>
          </a:extLst>
        </xdr:cNvPr>
        <xdr:cNvPicPr>
          <a:picLocks noChangeAspect="1"/>
        </xdr:cNvPicPr>
      </xdr:nvPicPr>
      <xdr:blipFill>
        <a:blip xmlns:r="http://schemas.openxmlformats.org/officeDocument/2006/relationships" r:embed="rId1"/>
        <a:stretch>
          <a:fillRect/>
        </a:stretch>
      </xdr:blipFill>
      <xdr:spPr>
        <a:xfrm>
          <a:off x="15330861" y="39757"/>
          <a:ext cx="1553154" cy="443183"/>
        </a:xfrm>
        <a:prstGeom prst="rect">
          <a:avLst/>
        </a:prstGeom>
      </xdr:spPr>
    </xdr:pic>
    <xdr:clientData/>
  </xdr:oneCellAnchor>
  <xdr:oneCellAnchor>
    <xdr:from>
      <xdr:col>12</xdr:col>
      <xdr:colOff>944301</xdr:colOff>
      <xdr:row>0</xdr:row>
      <xdr:rowOff>0</xdr:rowOff>
    </xdr:from>
    <xdr:ext cx="1553154" cy="498428"/>
    <xdr:pic>
      <xdr:nvPicPr>
        <xdr:cNvPr id="4" name="Picture 3" hidden="1">
          <a:extLst>
            <a:ext uri="{FF2B5EF4-FFF2-40B4-BE49-F238E27FC236}">
              <a16:creationId xmlns:a16="http://schemas.microsoft.com/office/drawing/2014/main" id="{BC470004-C2E0-4658-A740-2B9F9C34A20C}"/>
            </a:ext>
          </a:extLst>
        </xdr:cNvPr>
        <xdr:cNvPicPr>
          <a:picLocks noChangeAspect="1"/>
        </xdr:cNvPicPr>
      </xdr:nvPicPr>
      <xdr:blipFill>
        <a:blip xmlns:r="http://schemas.openxmlformats.org/officeDocument/2006/relationships" r:embed="rId1"/>
        <a:stretch>
          <a:fillRect/>
        </a:stretch>
      </xdr:blipFill>
      <xdr:spPr>
        <a:xfrm>
          <a:off x="15330861" y="0"/>
          <a:ext cx="1553154" cy="498428"/>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944301</xdr:colOff>
      <xdr:row>0</xdr:row>
      <xdr:rowOff>39757</xdr:rowOff>
    </xdr:from>
    <xdr:ext cx="1553154" cy="445511"/>
    <xdr:pic>
      <xdr:nvPicPr>
        <xdr:cNvPr id="2" name="Picture 1" hidden="1">
          <a:extLst>
            <a:ext uri="{FF2B5EF4-FFF2-40B4-BE49-F238E27FC236}">
              <a16:creationId xmlns:a16="http://schemas.microsoft.com/office/drawing/2014/main" id="{89ACB740-F9BE-4B55-8E95-4EB8BE179896}"/>
            </a:ext>
          </a:extLst>
        </xdr:cNvPr>
        <xdr:cNvPicPr>
          <a:picLocks noChangeAspect="1"/>
        </xdr:cNvPicPr>
      </xdr:nvPicPr>
      <xdr:blipFill>
        <a:blip xmlns:r="http://schemas.openxmlformats.org/officeDocument/2006/relationships" r:embed="rId1"/>
        <a:stretch>
          <a:fillRect/>
        </a:stretch>
      </xdr:blipFill>
      <xdr:spPr>
        <a:xfrm>
          <a:off x="14546001" y="39757"/>
          <a:ext cx="1553154" cy="445511"/>
        </a:xfrm>
        <a:prstGeom prst="rect">
          <a:avLst/>
        </a:prstGeom>
      </xdr:spPr>
    </xdr:pic>
    <xdr:clientData/>
  </xdr:oneCellAnchor>
  <xdr:oneCellAnchor>
    <xdr:from>
      <xdr:col>12</xdr:col>
      <xdr:colOff>944301</xdr:colOff>
      <xdr:row>0</xdr:row>
      <xdr:rowOff>39757</xdr:rowOff>
    </xdr:from>
    <xdr:ext cx="1553154" cy="443183"/>
    <xdr:pic>
      <xdr:nvPicPr>
        <xdr:cNvPr id="3" name="Picture 2" hidden="1">
          <a:extLst>
            <a:ext uri="{FF2B5EF4-FFF2-40B4-BE49-F238E27FC236}">
              <a16:creationId xmlns:a16="http://schemas.microsoft.com/office/drawing/2014/main" id="{86A23D77-D741-45E7-861E-CA490CE722BD}"/>
            </a:ext>
            <a:ext uri="{147F2762-F138-4A5C-976F-8EAC2B608ADB}">
              <a16:predDERef xmlns:a16="http://schemas.microsoft.com/office/drawing/2014/main" pred="{89ACB740-F9BE-4B55-8E95-4EB8BE179896}"/>
            </a:ext>
          </a:extLst>
        </xdr:cNvPr>
        <xdr:cNvPicPr>
          <a:picLocks noChangeAspect="1"/>
        </xdr:cNvPicPr>
      </xdr:nvPicPr>
      <xdr:blipFill>
        <a:blip xmlns:r="http://schemas.openxmlformats.org/officeDocument/2006/relationships" r:embed="rId1"/>
        <a:stretch>
          <a:fillRect/>
        </a:stretch>
      </xdr:blipFill>
      <xdr:spPr>
        <a:xfrm>
          <a:off x="14546001" y="39757"/>
          <a:ext cx="1553154" cy="443183"/>
        </a:xfrm>
        <a:prstGeom prst="rect">
          <a:avLst/>
        </a:prstGeom>
      </xdr:spPr>
    </xdr:pic>
    <xdr:clientData/>
  </xdr:oneCellAnchor>
  <xdr:oneCellAnchor>
    <xdr:from>
      <xdr:col>12</xdr:col>
      <xdr:colOff>944301</xdr:colOff>
      <xdr:row>0</xdr:row>
      <xdr:rowOff>0</xdr:rowOff>
    </xdr:from>
    <xdr:ext cx="1553154" cy="498428"/>
    <xdr:pic>
      <xdr:nvPicPr>
        <xdr:cNvPr id="4" name="Picture 3" hidden="1">
          <a:extLst>
            <a:ext uri="{FF2B5EF4-FFF2-40B4-BE49-F238E27FC236}">
              <a16:creationId xmlns:a16="http://schemas.microsoft.com/office/drawing/2014/main" id="{9D0C9C5C-8208-48FF-95FA-EFB1626340AF}"/>
            </a:ext>
            <a:ext uri="{147F2762-F138-4A5C-976F-8EAC2B608ADB}">
              <a16:predDERef xmlns:a16="http://schemas.microsoft.com/office/drawing/2014/main" pred="{86A23D77-D741-45E7-861E-CA490CE722BD}"/>
            </a:ext>
          </a:extLst>
        </xdr:cNvPr>
        <xdr:cNvPicPr>
          <a:picLocks noChangeAspect="1"/>
        </xdr:cNvPicPr>
      </xdr:nvPicPr>
      <xdr:blipFill>
        <a:blip xmlns:r="http://schemas.openxmlformats.org/officeDocument/2006/relationships" r:embed="rId1"/>
        <a:stretch>
          <a:fillRect/>
        </a:stretch>
      </xdr:blipFill>
      <xdr:spPr>
        <a:xfrm>
          <a:off x="14546001" y="0"/>
          <a:ext cx="1553154" cy="498428"/>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13</xdr:col>
      <xdr:colOff>944301</xdr:colOff>
      <xdr:row>0</xdr:row>
      <xdr:rowOff>39757</xdr:rowOff>
    </xdr:from>
    <xdr:ext cx="1553154" cy="445511"/>
    <xdr:pic>
      <xdr:nvPicPr>
        <xdr:cNvPr id="2" name="Picture 1" hidden="1">
          <a:extLst>
            <a:ext uri="{FF2B5EF4-FFF2-40B4-BE49-F238E27FC236}">
              <a16:creationId xmlns:a16="http://schemas.microsoft.com/office/drawing/2014/main" id="{245341CD-ABDB-4F45-B29C-0BCFAD086AF5}"/>
            </a:ext>
          </a:extLst>
        </xdr:cNvPr>
        <xdr:cNvPicPr>
          <a:picLocks noChangeAspect="1"/>
        </xdr:cNvPicPr>
      </xdr:nvPicPr>
      <xdr:blipFill>
        <a:blip xmlns:r="http://schemas.openxmlformats.org/officeDocument/2006/relationships" r:embed="rId1"/>
        <a:stretch>
          <a:fillRect/>
        </a:stretch>
      </xdr:blipFill>
      <xdr:spPr>
        <a:xfrm>
          <a:off x="13031526" y="39757"/>
          <a:ext cx="1553154" cy="445511"/>
        </a:xfrm>
        <a:prstGeom prst="rect">
          <a:avLst/>
        </a:prstGeom>
      </xdr:spPr>
    </xdr:pic>
    <xdr:clientData/>
  </xdr:oneCellAnchor>
  <xdr:oneCellAnchor>
    <xdr:from>
      <xdr:col>13</xdr:col>
      <xdr:colOff>944301</xdr:colOff>
      <xdr:row>0</xdr:row>
      <xdr:rowOff>39757</xdr:rowOff>
    </xdr:from>
    <xdr:ext cx="1553154" cy="443183"/>
    <xdr:pic>
      <xdr:nvPicPr>
        <xdr:cNvPr id="3" name="Picture 2" hidden="1">
          <a:extLst>
            <a:ext uri="{FF2B5EF4-FFF2-40B4-BE49-F238E27FC236}">
              <a16:creationId xmlns:a16="http://schemas.microsoft.com/office/drawing/2014/main" id="{1392D882-B5B1-4475-B007-A12491BC3D85}"/>
            </a:ext>
          </a:extLst>
        </xdr:cNvPr>
        <xdr:cNvPicPr>
          <a:picLocks noChangeAspect="1"/>
        </xdr:cNvPicPr>
      </xdr:nvPicPr>
      <xdr:blipFill>
        <a:blip xmlns:r="http://schemas.openxmlformats.org/officeDocument/2006/relationships" r:embed="rId1"/>
        <a:stretch>
          <a:fillRect/>
        </a:stretch>
      </xdr:blipFill>
      <xdr:spPr>
        <a:xfrm>
          <a:off x="13031526" y="39757"/>
          <a:ext cx="1553154" cy="443183"/>
        </a:xfrm>
        <a:prstGeom prst="rect">
          <a:avLst/>
        </a:prstGeom>
      </xdr:spPr>
    </xdr:pic>
    <xdr:clientData/>
  </xdr:oneCellAnchor>
  <xdr:oneCellAnchor>
    <xdr:from>
      <xdr:col>13</xdr:col>
      <xdr:colOff>944301</xdr:colOff>
      <xdr:row>0</xdr:row>
      <xdr:rowOff>0</xdr:rowOff>
    </xdr:from>
    <xdr:ext cx="1553154" cy="498428"/>
    <xdr:pic>
      <xdr:nvPicPr>
        <xdr:cNvPr id="4" name="Picture 3" hidden="1">
          <a:extLst>
            <a:ext uri="{FF2B5EF4-FFF2-40B4-BE49-F238E27FC236}">
              <a16:creationId xmlns:a16="http://schemas.microsoft.com/office/drawing/2014/main" id="{527C2D86-F0B7-4666-8F9E-301D77CE2DDD}"/>
            </a:ext>
          </a:extLst>
        </xdr:cNvPr>
        <xdr:cNvPicPr>
          <a:picLocks noChangeAspect="1"/>
        </xdr:cNvPicPr>
      </xdr:nvPicPr>
      <xdr:blipFill>
        <a:blip xmlns:r="http://schemas.openxmlformats.org/officeDocument/2006/relationships" r:embed="rId1"/>
        <a:stretch>
          <a:fillRect/>
        </a:stretch>
      </xdr:blipFill>
      <xdr:spPr>
        <a:xfrm>
          <a:off x="13031526" y="0"/>
          <a:ext cx="1553154" cy="498428"/>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oneCellAnchor>
    <xdr:from>
      <xdr:col>13</xdr:col>
      <xdr:colOff>944301</xdr:colOff>
      <xdr:row>0</xdr:row>
      <xdr:rowOff>39757</xdr:rowOff>
    </xdr:from>
    <xdr:ext cx="1553154" cy="445511"/>
    <xdr:pic>
      <xdr:nvPicPr>
        <xdr:cNvPr id="2" name="Picture 1" hidden="1">
          <a:extLst>
            <a:ext uri="{FF2B5EF4-FFF2-40B4-BE49-F238E27FC236}">
              <a16:creationId xmlns:a16="http://schemas.microsoft.com/office/drawing/2014/main" id="{415EB272-24FE-41EA-A689-124EDC192D38}"/>
            </a:ext>
          </a:extLst>
        </xdr:cNvPr>
        <xdr:cNvPicPr>
          <a:picLocks noChangeAspect="1"/>
        </xdr:cNvPicPr>
      </xdr:nvPicPr>
      <xdr:blipFill>
        <a:blip xmlns:r="http://schemas.openxmlformats.org/officeDocument/2006/relationships" r:embed="rId1"/>
        <a:stretch>
          <a:fillRect/>
        </a:stretch>
      </xdr:blipFill>
      <xdr:spPr>
        <a:xfrm>
          <a:off x="12460026" y="0"/>
          <a:ext cx="1553154" cy="445511"/>
        </a:xfrm>
        <a:prstGeom prst="rect">
          <a:avLst/>
        </a:prstGeom>
      </xdr:spPr>
    </xdr:pic>
    <xdr:clientData/>
  </xdr:oneCellAnchor>
  <xdr:oneCellAnchor>
    <xdr:from>
      <xdr:col>13</xdr:col>
      <xdr:colOff>944301</xdr:colOff>
      <xdr:row>0</xdr:row>
      <xdr:rowOff>39757</xdr:rowOff>
    </xdr:from>
    <xdr:ext cx="1553154" cy="443183"/>
    <xdr:pic>
      <xdr:nvPicPr>
        <xdr:cNvPr id="3" name="Picture 2" hidden="1">
          <a:extLst>
            <a:ext uri="{FF2B5EF4-FFF2-40B4-BE49-F238E27FC236}">
              <a16:creationId xmlns:a16="http://schemas.microsoft.com/office/drawing/2014/main" id="{2A547839-3321-4121-A822-C2827CBD92B9}"/>
            </a:ext>
          </a:extLst>
        </xdr:cNvPr>
        <xdr:cNvPicPr>
          <a:picLocks noChangeAspect="1"/>
        </xdr:cNvPicPr>
      </xdr:nvPicPr>
      <xdr:blipFill>
        <a:blip xmlns:r="http://schemas.openxmlformats.org/officeDocument/2006/relationships" r:embed="rId1"/>
        <a:stretch>
          <a:fillRect/>
        </a:stretch>
      </xdr:blipFill>
      <xdr:spPr>
        <a:xfrm>
          <a:off x="12460026" y="0"/>
          <a:ext cx="1553154" cy="443183"/>
        </a:xfrm>
        <a:prstGeom prst="rect">
          <a:avLst/>
        </a:prstGeom>
      </xdr:spPr>
    </xdr:pic>
    <xdr:clientData/>
  </xdr:oneCellAnchor>
  <xdr:oneCellAnchor>
    <xdr:from>
      <xdr:col>13</xdr:col>
      <xdr:colOff>944301</xdr:colOff>
      <xdr:row>0</xdr:row>
      <xdr:rowOff>0</xdr:rowOff>
    </xdr:from>
    <xdr:ext cx="1553154" cy="498428"/>
    <xdr:pic>
      <xdr:nvPicPr>
        <xdr:cNvPr id="4" name="Picture 3" hidden="1">
          <a:extLst>
            <a:ext uri="{FF2B5EF4-FFF2-40B4-BE49-F238E27FC236}">
              <a16:creationId xmlns:a16="http://schemas.microsoft.com/office/drawing/2014/main" id="{2F1EC78C-B9C7-4AC7-815C-CF8A36C8DD7E}"/>
            </a:ext>
          </a:extLst>
        </xdr:cNvPr>
        <xdr:cNvPicPr>
          <a:picLocks noChangeAspect="1"/>
        </xdr:cNvPicPr>
      </xdr:nvPicPr>
      <xdr:blipFill>
        <a:blip xmlns:r="http://schemas.openxmlformats.org/officeDocument/2006/relationships" r:embed="rId1"/>
        <a:stretch>
          <a:fillRect/>
        </a:stretch>
      </xdr:blipFill>
      <xdr:spPr>
        <a:xfrm>
          <a:off x="12460026" y="0"/>
          <a:ext cx="1553154" cy="498428"/>
        </a:xfrm>
        <a:prstGeom prst="rect">
          <a:avLst/>
        </a:prstGeom>
      </xdr:spPr>
    </xdr:pic>
    <xdr:clientData/>
  </xdr:oneCellAnchor>
</xdr:wsDr>
</file>

<file path=xl/drawings/drawing16.xml><?xml version="1.0" encoding="utf-8"?>
<xdr:wsDr xmlns:xdr="http://schemas.openxmlformats.org/drawingml/2006/spreadsheetDrawing" xmlns:a="http://schemas.openxmlformats.org/drawingml/2006/main">
  <xdr:oneCellAnchor>
    <xdr:from>
      <xdr:col>10</xdr:col>
      <xdr:colOff>944301</xdr:colOff>
      <xdr:row>0</xdr:row>
      <xdr:rowOff>39757</xdr:rowOff>
    </xdr:from>
    <xdr:ext cx="1553154" cy="445511"/>
    <xdr:pic>
      <xdr:nvPicPr>
        <xdr:cNvPr id="2" name="Picture 1" hidden="1">
          <a:extLst>
            <a:ext uri="{FF2B5EF4-FFF2-40B4-BE49-F238E27FC236}">
              <a16:creationId xmlns:a16="http://schemas.microsoft.com/office/drawing/2014/main" id="{EE4A4257-CC6E-4833-A7BE-51411A21BCC1}"/>
            </a:ext>
          </a:extLst>
        </xdr:cNvPr>
        <xdr:cNvPicPr>
          <a:picLocks noChangeAspect="1"/>
        </xdr:cNvPicPr>
      </xdr:nvPicPr>
      <xdr:blipFill>
        <a:blip xmlns:r="http://schemas.openxmlformats.org/officeDocument/2006/relationships" r:embed="rId1"/>
        <a:stretch>
          <a:fillRect/>
        </a:stretch>
      </xdr:blipFill>
      <xdr:spPr>
        <a:xfrm>
          <a:off x="15330861" y="39757"/>
          <a:ext cx="1553154" cy="445511"/>
        </a:xfrm>
        <a:prstGeom prst="rect">
          <a:avLst/>
        </a:prstGeom>
      </xdr:spPr>
    </xdr:pic>
    <xdr:clientData/>
  </xdr:oneCellAnchor>
  <xdr:oneCellAnchor>
    <xdr:from>
      <xdr:col>10</xdr:col>
      <xdr:colOff>944301</xdr:colOff>
      <xdr:row>0</xdr:row>
      <xdr:rowOff>39757</xdr:rowOff>
    </xdr:from>
    <xdr:ext cx="1553154" cy="443183"/>
    <xdr:pic>
      <xdr:nvPicPr>
        <xdr:cNvPr id="3" name="Picture 2" hidden="1">
          <a:extLst>
            <a:ext uri="{FF2B5EF4-FFF2-40B4-BE49-F238E27FC236}">
              <a16:creationId xmlns:a16="http://schemas.microsoft.com/office/drawing/2014/main" id="{DF2BB07B-C827-4BFE-A6EC-58A6A39D964A}"/>
            </a:ext>
          </a:extLst>
        </xdr:cNvPr>
        <xdr:cNvPicPr>
          <a:picLocks noChangeAspect="1"/>
        </xdr:cNvPicPr>
      </xdr:nvPicPr>
      <xdr:blipFill>
        <a:blip xmlns:r="http://schemas.openxmlformats.org/officeDocument/2006/relationships" r:embed="rId1"/>
        <a:stretch>
          <a:fillRect/>
        </a:stretch>
      </xdr:blipFill>
      <xdr:spPr>
        <a:xfrm>
          <a:off x="15330861" y="39757"/>
          <a:ext cx="1553154" cy="443183"/>
        </a:xfrm>
        <a:prstGeom prst="rect">
          <a:avLst/>
        </a:prstGeom>
      </xdr:spPr>
    </xdr:pic>
    <xdr:clientData/>
  </xdr:oneCellAnchor>
  <xdr:oneCellAnchor>
    <xdr:from>
      <xdr:col>10</xdr:col>
      <xdr:colOff>944301</xdr:colOff>
      <xdr:row>0</xdr:row>
      <xdr:rowOff>0</xdr:rowOff>
    </xdr:from>
    <xdr:ext cx="1553154" cy="498428"/>
    <xdr:pic>
      <xdr:nvPicPr>
        <xdr:cNvPr id="4" name="Picture 3" hidden="1">
          <a:extLst>
            <a:ext uri="{FF2B5EF4-FFF2-40B4-BE49-F238E27FC236}">
              <a16:creationId xmlns:a16="http://schemas.microsoft.com/office/drawing/2014/main" id="{1A3E1CEE-C634-415A-9621-C93BEF9FF72C}"/>
            </a:ext>
          </a:extLst>
        </xdr:cNvPr>
        <xdr:cNvPicPr>
          <a:picLocks noChangeAspect="1"/>
        </xdr:cNvPicPr>
      </xdr:nvPicPr>
      <xdr:blipFill>
        <a:blip xmlns:r="http://schemas.openxmlformats.org/officeDocument/2006/relationships" r:embed="rId1"/>
        <a:stretch>
          <a:fillRect/>
        </a:stretch>
      </xdr:blipFill>
      <xdr:spPr>
        <a:xfrm>
          <a:off x="15330861" y="0"/>
          <a:ext cx="1553154" cy="498428"/>
        </a:xfrm>
        <a:prstGeom prst="rect">
          <a:avLst/>
        </a:prstGeom>
      </xdr:spPr>
    </xdr:pic>
    <xdr:clientData/>
  </xdr:oneCellAnchor>
</xdr:wsDr>
</file>

<file path=xl/drawings/drawing17.xml><?xml version="1.0" encoding="utf-8"?>
<xdr:wsDr xmlns:xdr="http://schemas.openxmlformats.org/drawingml/2006/spreadsheetDrawing" xmlns:a="http://schemas.openxmlformats.org/drawingml/2006/main">
  <xdr:oneCellAnchor>
    <xdr:from>
      <xdr:col>11</xdr:col>
      <xdr:colOff>944301</xdr:colOff>
      <xdr:row>0</xdr:row>
      <xdr:rowOff>39757</xdr:rowOff>
    </xdr:from>
    <xdr:ext cx="1553154" cy="445511"/>
    <xdr:pic>
      <xdr:nvPicPr>
        <xdr:cNvPr id="2" name="Picture 1" hidden="1">
          <a:extLst>
            <a:ext uri="{FF2B5EF4-FFF2-40B4-BE49-F238E27FC236}">
              <a16:creationId xmlns:a16="http://schemas.microsoft.com/office/drawing/2014/main" id="{E6C80B24-12A4-4BFC-9D71-2FB8BC652D8D}"/>
            </a:ext>
          </a:extLst>
        </xdr:cNvPr>
        <xdr:cNvPicPr>
          <a:picLocks noChangeAspect="1"/>
        </xdr:cNvPicPr>
      </xdr:nvPicPr>
      <xdr:blipFill>
        <a:blip xmlns:r="http://schemas.openxmlformats.org/officeDocument/2006/relationships" r:embed="rId1"/>
        <a:stretch>
          <a:fillRect/>
        </a:stretch>
      </xdr:blipFill>
      <xdr:spPr>
        <a:xfrm>
          <a:off x="15708051" y="0"/>
          <a:ext cx="1553154" cy="445511"/>
        </a:xfrm>
        <a:prstGeom prst="rect">
          <a:avLst/>
        </a:prstGeom>
      </xdr:spPr>
    </xdr:pic>
    <xdr:clientData/>
  </xdr:oneCellAnchor>
  <xdr:oneCellAnchor>
    <xdr:from>
      <xdr:col>11</xdr:col>
      <xdr:colOff>944301</xdr:colOff>
      <xdr:row>0</xdr:row>
      <xdr:rowOff>39757</xdr:rowOff>
    </xdr:from>
    <xdr:ext cx="1553154" cy="443183"/>
    <xdr:pic>
      <xdr:nvPicPr>
        <xdr:cNvPr id="3" name="Picture 2" hidden="1">
          <a:extLst>
            <a:ext uri="{FF2B5EF4-FFF2-40B4-BE49-F238E27FC236}">
              <a16:creationId xmlns:a16="http://schemas.microsoft.com/office/drawing/2014/main" id="{18B80EC9-658C-498C-8B03-CC19C8649732}"/>
            </a:ext>
          </a:extLst>
        </xdr:cNvPr>
        <xdr:cNvPicPr>
          <a:picLocks noChangeAspect="1"/>
        </xdr:cNvPicPr>
      </xdr:nvPicPr>
      <xdr:blipFill>
        <a:blip xmlns:r="http://schemas.openxmlformats.org/officeDocument/2006/relationships" r:embed="rId1"/>
        <a:stretch>
          <a:fillRect/>
        </a:stretch>
      </xdr:blipFill>
      <xdr:spPr>
        <a:xfrm>
          <a:off x="15708051" y="0"/>
          <a:ext cx="1553154" cy="443183"/>
        </a:xfrm>
        <a:prstGeom prst="rect">
          <a:avLst/>
        </a:prstGeom>
      </xdr:spPr>
    </xdr:pic>
    <xdr:clientData/>
  </xdr:oneCellAnchor>
  <xdr:oneCellAnchor>
    <xdr:from>
      <xdr:col>11</xdr:col>
      <xdr:colOff>944301</xdr:colOff>
      <xdr:row>0</xdr:row>
      <xdr:rowOff>0</xdr:rowOff>
    </xdr:from>
    <xdr:ext cx="1553154" cy="498428"/>
    <xdr:pic>
      <xdr:nvPicPr>
        <xdr:cNvPr id="4" name="Picture 3" hidden="1">
          <a:extLst>
            <a:ext uri="{FF2B5EF4-FFF2-40B4-BE49-F238E27FC236}">
              <a16:creationId xmlns:a16="http://schemas.microsoft.com/office/drawing/2014/main" id="{C43BEC99-3BD7-44C9-9E2A-4FECF3EFB988}"/>
            </a:ext>
          </a:extLst>
        </xdr:cNvPr>
        <xdr:cNvPicPr>
          <a:picLocks noChangeAspect="1"/>
        </xdr:cNvPicPr>
      </xdr:nvPicPr>
      <xdr:blipFill>
        <a:blip xmlns:r="http://schemas.openxmlformats.org/officeDocument/2006/relationships" r:embed="rId1"/>
        <a:stretch>
          <a:fillRect/>
        </a:stretch>
      </xdr:blipFill>
      <xdr:spPr>
        <a:xfrm>
          <a:off x="15708051" y="0"/>
          <a:ext cx="1553154" cy="498428"/>
        </a:xfrm>
        <a:prstGeom prst="rect">
          <a:avLst/>
        </a:prstGeom>
      </xdr:spPr>
    </xdr:pic>
    <xdr:clientData/>
  </xdr:oneCellAnchor>
</xdr:wsDr>
</file>

<file path=xl/drawings/drawing18.xml><?xml version="1.0" encoding="utf-8"?>
<xdr:wsDr xmlns:xdr="http://schemas.openxmlformats.org/drawingml/2006/spreadsheetDrawing" xmlns:a="http://schemas.openxmlformats.org/drawingml/2006/main">
  <xdr:oneCellAnchor>
    <xdr:from>
      <xdr:col>10</xdr:col>
      <xdr:colOff>944301</xdr:colOff>
      <xdr:row>0</xdr:row>
      <xdr:rowOff>39757</xdr:rowOff>
    </xdr:from>
    <xdr:ext cx="1553154" cy="445511"/>
    <xdr:pic>
      <xdr:nvPicPr>
        <xdr:cNvPr id="2" name="Picture 1" hidden="1">
          <a:extLst>
            <a:ext uri="{FF2B5EF4-FFF2-40B4-BE49-F238E27FC236}">
              <a16:creationId xmlns:a16="http://schemas.microsoft.com/office/drawing/2014/main" id="{2628C4E5-7310-45B6-954D-083E047770B4}"/>
            </a:ext>
          </a:extLst>
        </xdr:cNvPr>
        <xdr:cNvPicPr>
          <a:picLocks noChangeAspect="1"/>
        </xdr:cNvPicPr>
      </xdr:nvPicPr>
      <xdr:blipFill>
        <a:blip xmlns:r="http://schemas.openxmlformats.org/officeDocument/2006/relationships" r:embed="rId1"/>
        <a:stretch>
          <a:fillRect/>
        </a:stretch>
      </xdr:blipFill>
      <xdr:spPr>
        <a:xfrm>
          <a:off x="13736376" y="0"/>
          <a:ext cx="1553154" cy="445511"/>
        </a:xfrm>
        <a:prstGeom prst="rect">
          <a:avLst/>
        </a:prstGeom>
      </xdr:spPr>
    </xdr:pic>
    <xdr:clientData/>
  </xdr:oneCellAnchor>
  <xdr:oneCellAnchor>
    <xdr:from>
      <xdr:col>10</xdr:col>
      <xdr:colOff>944301</xdr:colOff>
      <xdr:row>0</xdr:row>
      <xdr:rowOff>39757</xdr:rowOff>
    </xdr:from>
    <xdr:ext cx="1553154" cy="443183"/>
    <xdr:pic>
      <xdr:nvPicPr>
        <xdr:cNvPr id="3" name="Picture 2" hidden="1">
          <a:extLst>
            <a:ext uri="{FF2B5EF4-FFF2-40B4-BE49-F238E27FC236}">
              <a16:creationId xmlns:a16="http://schemas.microsoft.com/office/drawing/2014/main" id="{96718CBA-0A18-49C4-BDEA-3D70597FA1F1}"/>
            </a:ext>
          </a:extLst>
        </xdr:cNvPr>
        <xdr:cNvPicPr>
          <a:picLocks noChangeAspect="1"/>
        </xdr:cNvPicPr>
      </xdr:nvPicPr>
      <xdr:blipFill>
        <a:blip xmlns:r="http://schemas.openxmlformats.org/officeDocument/2006/relationships" r:embed="rId1"/>
        <a:stretch>
          <a:fillRect/>
        </a:stretch>
      </xdr:blipFill>
      <xdr:spPr>
        <a:xfrm>
          <a:off x="13736376" y="0"/>
          <a:ext cx="1553154" cy="443183"/>
        </a:xfrm>
        <a:prstGeom prst="rect">
          <a:avLst/>
        </a:prstGeom>
      </xdr:spPr>
    </xdr:pic>
    <xdr:clientData/>
  </xdr:oneCellAnchor>
  <xdr:oneCellAnchor>
    <xdr:from>
      <xdr:col>10</xdr:col>
      <xdr:colOff>944301</xdr:colOff>
      <xdr:row>0</xdr:row>
      <xdr:rowOff>0</xdr:rowOff>
    </xdr:from>
    <xdr:ext cx="1553154" cy="498428"/>
    <xdr:pic>
      <xdr:nvPicPr>
        <xdr:cNvPr id="4" name="Picture 3" hidden="1">
          <a:extLst>
            <a:ext uri="{FF2B5EF4-FFF2-40B4-BE49-F238E27FC236}">
              <a16:creationId xmlns:a16="http://schemas.microsoft.com/office/drawing/2014/main" id="{E784447A-36CB-43D9-9FC1-5DFED97867C6}"/>
            </a:ext>
          </a:extLst>
        </xdr:cNvPr>
        <xdr:cNvPicPr>
          <a:picLocks noChangeAspect="1"/>
        </xdr:cNvPicPr>
      </xdr:nvPicPr>
      <xdr:blipFill>
        <a:blip xmlns:r="http://schemas.openxmlformats.org/officeDocument/2006/relationships" r:embed="rId1"/>
        <a:stretch>
          <a:fillRect/>
        </a:stretch>
      </xdr:blipFill>
      <xdr:spPr>
        <a:xfrm>
          <a:off x="13736376" y="0"/>
          <a:ext cx="1553154" cy="498428"/>
        </a:xfrm>
        <a:prstGeom prst="rect">
          <a:avLst/>
        </a:prstGeom>
      </xdr:spPr>
    </xdr:pic>
    <xdr:clientData/>
  </xdr:oneCellAnchor>
  <xdr:twoCellAnchor>
    <xdr:from>
      <xdr:col>0</xdr:col>
      <xdr:colOff>205740</xdr:colOff>
      <xdr:row>9</xdr:row>
      <xdr:rowOff>7620</xdr:rowOff>
    </xdr:from>
    <xdr:to>
      <xdr:col>10</xdr:col>
      <xdr:colOff>15240</xdr:colOff>
      <xdr:row>13</xdr:row>
      <xdr:rowOff>7620</xdr:rowOff>
    </xdr:to>
    <xdr:sp macro="" textlink="">
      <xdr:nvSpPr>
        <xdr:cNvPr id="5" name="TextBox 4">
          <a:extLst>
            <a:ext uri="{FF2B5EF4-FFF2-40B4-BE49-F238E27FC236}">
              <a16:creationId xmlns:a16="http://schemas.microsoft.com/office/drawing/2014/main" id="{5B2E1841-E2E1-4C32-89AC-A58D981719F3}"/>
            </a:ext>
          </a:extLst>
        </xdr:cNvPr>
        <xdr:cNvSpPr txBox="1"/>
      </xdr:nvSpPr>
      <xdr:spPr>
        <a:xfrm>
          <a:off x="205740" y="0"/>
          <a:ext cx="12601575" cy="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kumimoji="0" lang="en-ZA" sz="1100" b="1" i="0" u="none" strike="noStrike" kern="1200" cap="none" spc="0" normalizeH="0" baseline="0" noProof="0" dirty="0">
              <a:ln>
                <a:noFill/>
              </a:ln>
              <a:solidFill>
                <a:prstClr val="black"/>
              </a:solidFill>
              <a:effectLst/>
              <a:uLnTx/>
              <a:uFillTx/>
              <a:latin typeface="+mn-lt"/>
              <a:ea typeface="+mn-ea"/>
              <a:cs typeface="+mn-cs"/>
            </a:rPr>
            <a:t>Important notes to vendors on demonstration:</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Demonstrations will be held </a:t>
          </a:r>
          <a:r>
            <a:rPr kumimoji="0" lang="en-ZA" sz="1100" b="0" i="0" u="none" strike="noStrike" kern="1200" cap="none" spc="0" normalizeH="0" baseline="0" noProof="0" dirty="0">
              <a:ln>
                <a:noFill/>
              </a:ln>
              <a:solidFill>
                <a:schemeClr val="accent1"/>
              </a:solidFill>
              <a:effectLst/>
              <a:uLnTx/>
              <a:uFillTx/>
              <a:latin typeface="+mn-lt"/>
              <a:ea typeface="+mn-ea"/>
              <a:cs typeface="+mn-cs"/>
            </a:rPr>
            <a:t>&lt;indicate virtually or name physical location&gt;</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You will have </a:t>
          </a:r>
          <a:r>
            <a:rPr kumimoji="0" lang="en-ZA" sz="1100" b="0" i="0" u="none" strike="noStrike" kern="1200" cap="none" spc="0" normalizeH="0" baseline="0" noProof="0" dirty="0">
              <a:ln>
                <a:noFill/>
              </a:ln>
              <a:solidFill>
                <a:schemeClr val="accent1"/>
              </a:solidFill>
              <a:effectLst/>
              <a:uLnTx/>
              <a:uFillTx/>
              <a:latin typeface="+mn-lt"/>
              <a:ea typeface="+mn-ea"/>
              <a:cs typeface="+mn-cs"/>
            </a:rPr>
            <a:t>&lt;state allowable time&gt; </a:t>
          </a:r>
          <a:r>
            <a:rPr kumimoji="0" lang="en-ZA" sz="1100" b="0" i="0" u="none" strike="noStrike" kern="1200" cap="none" spc="0" normalizeH="0" baseline="0" noProof="0" dirty="0">
              <a:ln>
                <a:noFill/>
              </a:ln>
              <a:solidFill>
                <a:prstClr val="black"/>
              </a:solidFill>
              <a:effectLst/>
              <a:uLnTx/>
              <a:uFillTx/>
              <a:latin typeface="+mn-lt"/>
              <a:ea typeface="+mn-ea"/>
              <a:cs typeface="+mn-cs"/>
            </a:rPr>
            <a:t>minutes to conclude your demonstration, this will be followed by </a:t>
          </a:r>
          <a:r>
            <a:rPr kumimoji="0" lang="en-ZA" sz="1100" b="0" i="0" u="none" strike="noStrike" kern="1200" cap="none" spc="0" normalizeH="0" baseline="0" noProof="0" dirty="0">
              <a:ln>
                <a:noFill/>
              </a:ln>
              <a:solidFill>
                <a:schemeClr val="accent1"/>
              </a:solidFill>
              <a:effectLst/>
              <a:uLnTx/>
              <a:uFillTx/>
              <a:latin typeface="+mn-lt"/>
              <a:ea typeface="+mn-ea"/>
              <a:cs typeface="+mn-cs"/>
            </a:rPr>
            <a:t>&lt;state allowable time&gt;</a:t>
          </a:r>
          <a:r>
            <a:rPr kumimoji="0" lang="en-ZA" sz="1100" b="0" i="0" u="none" strike="noStrike" kern="1200" cap="none" spc="0" normalizeH="0" baseline="0" noProof="0" dirty="0">
              <a:ln>
                <a:noFill/>
              </a:ln>
              <a:solidFill>
                <a:prstClr val="black"/>
              </a:solidFill>
              <a:effectLst/>
              <a:uLnTx/>
              <a:uFillTx/>
              <a:latin typeface="+mn-lt"/>
              <a:ea typeface="+mn-ea"/>
              <a:cs typeface="+mn-cs"/>
            </a:rPr>
            <a:t> minutes for questions.</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If you are invited for a demonstration, you will have roughly </a:t>
          </a:r>
          <a:r>
            <a:rPr kumimoji="0" lang="en-ZA" sz="1100" b="0" i="0" u="none" strike="noStrike" kern="1200" cap="none" spc="0" normalizeH="0" baseline="0" noProof="0" dirty="0">
              <a:ln>
                <a:noFill/>
              </a:ln>
              <a:solidFill>
                <a:schemeClr val="accent1"/>
              </a:solidFill>
              <a:effectLst/>
              <a:uLnTx/>
              <a:uFillTx/>
              <a:latin typeface="+mn-lt"/>
              <a:ea typeface="+mn-ea"/>
              <a:cs typeface="+mn-cs"/>
            </a:rPr>
            <a:t>&lt;a week&gt; </a:t>
          </a:r>
          <a:r>
            <a:rPr kumimoji="0" lang="en-ZA" sz="1100" b="0" i="0" u="none" strike="noStrike" kern="1200" cap="none" spc="0" normalizeH="0" baseline="0" noProof="0" dirty="0">
              <a:ln>
                <a:noFill/>
              </a:ln>
              <a:solidFill>
                <a:prstClr val="black"/>
              </a:solidFill>
              <a:effectLst/>
              <a:uLnTx/>
              <a:uFillTx/>
              <a:latin typeface="+mn-lt"/>
              <a:ea typeface="+mn-ea"/>
              <a:cs typeface="+mn-cs"/>
            </a:rPr>
            <a:t>to prepare.</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For the demonstration you will be required to </a:t>
          </a:r>
          <a:r>
            <a:rPr kumimoji="0" lang="en-ZA" sz="1100" b="0" i="0" u="none" strike="noStrike" kern="1200" cap="none" spc="0" normalizeH="0" baseline="0" noProof="0" dirty="0">
              <a:ln>
                <a:noFill/>
              </a:ln>
              <a:solidFill>
                <a:schemeClr val="accent1"/>
              </a:solidFill>
              <a:effectLst/>
              <a:uLnTx/>
              <a:uFillTx/>
              <a:latin typeface="+mn-lt"/>
              <a:ea typeface="+mn-ea"/>
              <a:cs typeface="+mn-cs"/>
            </a:rPr>
            <a:t>&lt;indicate what you expect i.e. prepare a power point presentation, present the UI of the system or present the back-end or both or share any preferable formats or other overall expectations, demonstrated system should not be any alpha or beta versions, it must be a final production version&gt; </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schemeClr val="accent1"/>
              </a:solidFill>
              <a:effectLst/>
              <a:uLnTx/>
              <a:uFillTx/>
              <a:latin typeface="+mn-lt"/>
              <a:ea typeface="+mn-ea"/>
              <a:cs typeface="+mn-cs"/>
            </a:rPr>
            <a:t>&lt;if demonstrations will be done in person, edit then include the following delete if not applicable:&gt; </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All visitors are required to provide identification so please bring a driver's licence or ID, or you may not be allowed into the building. </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Arrive 10 minutes early to sign in your electronic devices at security, you will be collected from the main reception by an Eskom employee. </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A projector with standard VGA connector will be provided, please bring along any adapters you may need i.e. mac book adapter, HDMI etc.</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The venue does not have sound, if you need sound, please bring your own speaker</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ZA" sz="1100" b="0" i="0" u="none" strike="noStrike" kern="1200" cap="none" spc="0" normalizeH="0" baseline="0" noProof="0" dirty="0">
            <a:ln>
              <a:noFill/>
            </a:ln>
            <a:solidFill>
              <a:prstClr val="black"/>
            </a:solidFill>
            <a:effectLst/>
            <a:uLnTx/>
            <a:uFillTx/>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oneCellAnchor>
    <xdr:from>
      <xdr:col>10</xdr:col>
      <xdr:colOff>944301</xdr:colOff>
      <xdr:row>0</xdr:row>
      <xdr:rowOff>39757</xdr:rowOff>
    </xdr:from>
    <xdr:ext cx="1553154" cy="445511"/>
    <xdr:pic>
      <xdr:nvPicPr>
        <xdr:cNvPr id="2" name="Picture 1" hidden="1">
          <a:extLst>
            <a:ext uri="{FF2B5EF4-FFF2-40B4-BE49-F238E27FC236}">
              <a16:creationId xmlns:a16="http://schemas.microsoft.com/office/drawing/2014/main" id="{295B27D6-CBC5-4740-85F3-3B301C74EFED}"/>
            </a:ext>
          </a:extLst>
        </xdr:cNvPr>
        <xdr:cNvPicPr>
          <a:picLocks noChangeAspect="1"/>
        </xdr:cNvPicPr>
      </xdr:nvPicPr>
      <xdr:blipFill>
        <a:blip xmlns:r="http://schemas.openxmlformats.org/officeDocument/2006/relationships" r:embed="rId1"/>
        <a:stretch>
          <a:fillRect/>
        </a:stretch>
      </xdr:blipFill>
      <xdr:spPr>
        <a:xfrm>
          <a:off x="13060101" y="0"/>
          <a:ext cx="1553154" cy="445511"/>
        </a:xfrm>
        <a:prstGeom prst="rect">
          <a:avLst/>
        </a:prstGeom>
      </xdr:spPr>
    </xdr:pic>
    <xdr:clientData/>
  </xdr:oneCellAnchor>
  <xdr:oneCellAnchor>
    <xdr:from>
      <xdr:col>10</xdr:col>
      <xdr:colOff>944301</xdr:colOff>
      <xdr:row>0</xdr:row>
      <xdr:rowOff>39757</xdr:rowOff>
    </xdr:from>
    <xdr:ext cx="1553154" cy="443183"/>
    <xdr:pic>
      <xdr:nvPicPr>
        <xdr:cNvPr id="3" name="Picture 2" hidden="1">
          <a:extLst>
            <a:ext uri="{FF2B5EF4-FFF2-40B4-BE49-F238E27FC236}">
              <a16:creationId xmlns:a16="http://schemas.microsoft.com/office/drawing/2014/main" id="{3845F4DF-F7AD-4BEC-8771-1D82EEDA9612}"/>
            </a:ext>
          </a:extLst>
        </xdr:cNvPr>
        <xdr:cNvPicPr>
          <a:picLocks noChangeAspect="1"/>
        </xdr:cNvPicPr>
      </xdr:nvPicPr>
      <xdr:blipFill>
        <a:blip xmlns:r="http://schemas.openxmlformats.org/officeDocument/2006/relationships" r:embed="rId1"/>
        <a:stretch>
          <a:fillRect/>
        </a:stretch>
      </xdr:blipFill>
      <xdr:spPr>
        <a:xfrm>
          <a:off x="13060101" y="0"/>
          <a:ext cx="1553154" cy="443183"/>
        </a:xfrm>
        <a:prstGeom prst="rect">
          <a:avLst/>
        </a:prstGeom>
      </xdr:spPr>
    </xdr:pic>
    <xdr:clientData/>
  </xdr:oneCellAnchor>
  <xdr:oneCellAnchor>
    <xdr:from>
      <xdr:col>10</xdr:col>
      <xdr:colOff>944301</xdr:colOff>
      <xdr:row>0</xdr:row>
      <xdr:rowOff>0</xdr:rowOff>
    </xdr:from>
    <xdr:ext cx="1553154" cy="498428"/>
    <xdr:pic>
      <xdr:nvPicPr>
        <xdr:cNvPr id="4" name="Picture 3" hidden="1">
          <a:extLst>
            <a:ext uri="{FF2B5EF4-FFF2-40B4-BE49-F238E27FC236}">
              <a16:creationId xmlns:a16="http://schemas.microsoft.com/office/drawing/2014/main" id="{1BDE42BD-DEA4-4158-AFB5-5070D9B29CF9}"/>
            </a:ext>
          </a:extLst>
        </xdr:cNvPr>
        <xdr:cNvPicPr>
          <a:picLocks noChangeAspect="1"/>
        </xdr:cNvPicPr>
      </xdr:nvPicPr>
      <xdr:blipFill>
        <a:blip xmlns:r="http://schemas.openxmlformats.org/officeDocument/2006/relationships" r:embed="rId1"/>
        <a:stretch>
          <a:fillRect/>
        </a:stretch>
      </xdr:blipFill>
      <xdr:spPr>
        <a:xfrm>
          <a:off x="13060101" y="0"/>
          <a:ext cx="1553154" cy="498428"/>
        </a:xfrm>
        <a:prstGeom prst="rect">
          <a:avLst/>
        </a:prstGeom>
      </xdr:spPr>
    </xdr:pic>
    <xdr:clientData/>
  </xdr:oneCellAnchor>
  <xdr:twoCellAnchor>
    <xdr:from>
      <xdr:col>0</xdr:col>
      <xdr:colOff>205740</xdr:colOff>
      <xdr:row>9</xdr:row>
      <xdr:rowOff>7620</xdr:rowOff>
    </xdr:from>
    <xdr:to>
      <xdr:col>10</xdr:col>
      <xdr:colOff>15240</xdr:colOff>
      <xdr:row>13</xdr:row>
      <xdr:rowOff>7620</xdr:rowOff>
    </xdr:to>
    <xdr:sp macro="" textlink="">
      <xdr:nvSpPr>
        <xdr:cNvPr id="5" name="TextBox 4">
          <a:extLst>
            <a:ext uri="{FF2B5EF4-FFF2-40B4-BE49-F238E27FC236}">
              <a16:creationId xmlns:a16="http://schemas.microsoft.com/office/drawing/2014/main" id="{FB3AE4CA-604D-4397-B951-5EDB55DA8CDC}"/>
            </a:ext>
          </a:extLst>
        </xdr:cNvPr>
        <xdr:cNvSpPr txBox="1"/>
      </xdr:nvSpPr>
      <xdr:spPr>
        <a:xfrm>
          <a:off x="205740" y="0"/>
          <a:ext cx="11925300" cy="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kumimoji="0" lang="en-ZA" sz="1100" b="1" i="0" u="none" strike="noStrike" kern="1200" cap="none" spc="0" normalizeH="0" baseline="0" noProof="0" dirty="0">
              <a:ln>
                <a:noFill/>
              </a:ln>
              <a:solidFill>
                <a:prstClr val="black"/>
              </a:solidFill>
              <a:effectLst/>
              <a:uLnTx/>
              <a:uFillTx/>
              <a:latin typeface="+mn-lt"/>
              <a:ea typeface="+mn-ea"/>
              <a:cs typeface="+mn-cs"/>
            </a:rPr>
            <a:t>Important notes to vendors on demonstration:</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Demonstrations will be held </a:t>
          </a:r>
          <a:r>
            <a:rPr kumimoji="0" lang="en-ZA" sz="1100" b="0" i="0" u="none" strike="noStrike" kern="1200" cap="none" spc="0" normalizeH="0" baseline="0" noProof="0" dirty="0">
              <a:ln>
                <a:noFill/>
              </a:ln>
              <a:solidFill>
                <a:schemeClr val="accent1"/>
              </a:solidFill>
              <a:effectLst/>
              <a:uLnTx/>
              <a:uFillTx/>
              <a:latin typeface="+mn-lt"/>
              <a:ea typeface="+mn-ea"/>
              <a:cs typeface="+mn-cs"/>
            </a:rPr>
            <a:t>&lt;indicate virtually or name physical location&gt;</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You will have </a:t>
          </a:r>
          <a:r>
            <a:rPr kumimoji="0" lang="en-ZA" sz="1100" b="0" i="0" u="none" strike="noStrike" kern="1200" cap="none" spc="0" normalizeH="0" baseline="0" noProof="0" dirty="0">
              <a:ln>
                <a:noFill/>
              </a:ln>
              <a:solidFill>
                <a:schemeClr val="accent1"/>
              </a:solidFill>
              <a:effectLst/>
              <a:uLnTx/>
              <a:uFillTx/>
              <a:latin typeface="+mn-lt"/>
              <a:ea typeface="+mn-ea"/>
              <a:cs typeface="+mn-cs"/>
            </a:rPr>
            <a:t>&lt;state allowable time&gt; </a:t>
          </a:r>
          <a:r>
            <a:rPr kumimoji="0" lang="en-ZA" sz="1100" b="0" i="0" u="none" strike="noStrike" kern="1200" cap="none" spc="0" normalizeH="0" baseline="0" noProof="0" dirty="0">
              <a:ln>
                <a:noFill/>
              </a:ln>
              <a:solidFill>
                <a:prstClr val="black"/>
              </a:solidFill>
              <a:effectLst/>
              <a:uLnTx/>
              <a:uFillTx/>
              <a:latin typeface="+mn-lt"/>
              <a:ea typeface="+mn-ea"/>
              <a:cs typeface="+mn-cs"/>
            </a:rPr>
            <a:t>minutes to conclude your demonstration, this will be followed by </a:t>
          </a:r>
          <a:r>
            <a:rPr kumimoji="0" lang="en-ZA" sz="1100" b="0" i="0" u="none" strike="noStrike" kern="1200" cap="none" spc="0" normalizeH="0" baseline="0" noProof="0" dirty="0">
              <a:ln>
                <a:noFill/>
              </a:ln>
              <a:solidFill>
                <a:schemeClr val="accent1"/>
              </a:solidFill>
              <a:effectLst/>
              <a:uLnTx/>
              <a:uFillTx/>
              <a:latin typeface="+mn-lt"/>
              <a:ea typeface="+mn-ea"/>
              <a:cs typeface="+mn-cs"/>
            </a:rPr>
            <a:t>&lt;state allowable time&gt;</a:t>
          </a:r>
          <a:r>
            <a:rPr kumimoji="0" lang="en-ZA" sz="1100" b="0" i="0" u="none" strike="noStrike" kern="1200" cap="none" spc="0" normalizeH="0" baseline="0" noProof="0" dirty="0">
              <a:ln>
                <a:noFill/>
              </a:ln>
              <a:solidFill>
                <a:prstClr val="black"/>
              </a:solidFill>
              <a:effectLst/>
              <a:uLnTx/>
              <a:uFillTx/>
              <a:latin typeface="+mn-lt"/>
              <a:ea typeface="+mn-ea"/>
              <a:cs typeface="+mn-cs"/>
            </a:rPr>
            <a:t> minutes for questions.</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If you are invited for a demonstration, you will have roughly </a:t>
          </a:r>
          <a:r>
            <a:rPr kumimoji="0" lang="en-ZA" sz="1100" b="0" i="0" u="none" strike="noStrike" kern="1200" cap="none" spc="0" normalizeH="0" baseline="0" noProof="0" dirty="0">
              <a:ln>
                <a:noFill/>
              </a:ln>
              <a:solidFill>
                <a:schemeClr val="accent1"/>
              </a:solidFill>
              <a:effectLst/>
              <a:uLnTx/>
              <a:uFillTx/>
              <a:latin typeface="+mn-lt"/>
              <a:ea typeface="+mn-ea"/>
              <a:cs typeface="+mn-cs"/>
            </a:rPr>
            <a:t>&lt;a week&gt; </a:t>
          </a:r>
          <a:r>
            <a:rPr kumimoji="0" lang="en-ZA" sz="1100" b="0" i="0" u="none" strike="noStrike" kern="1200" cap="none" spc="0" normalizeH="0" baseline="0" noProof="0" dirty="0">
              <a:ln>
                <a:noFill/>
              </a:ln>
              <a:solidFill>
                <a:prstClr val="black"/>
              </a:solidFill>
              <a:effectLst/>
              <a:uLnTx/>
              <a:uFillTx/>
              <a:latin typeface="+mn-lt"/>
              <a:ea typeface="+mn-ea"/>
              <a:cs typeface="+mn-cs"/>
            </a:rPr>
            <a:t>to prepare.</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For the demonstration you will be required to </a:t>
          </a:r>
          <a:r>
            <a:rPr kumimoji="0" lang="en-ZA" sz="1100" b="0" i="0" u="none" strike="noStrike" kern="1200" cap="none" spc="0" normalizeH="0" baseline="0" noProof="0" dirty="0">
              <a:ln>
                <a:noFill/>
              </a:ln>
              <a:solidFill>
                <a:schemeClr val="accent1"/>
              </a:solidFill>
              <a:effectLst/>
              <a:uLnTx/>
              <a:uFillTx/>
              <a:latin typeface="+mn-lt"/>
              <a:ea typeface="+mn-ea"/>
              <a:cs typeface="+mn-cs"/>
            </a:rPr>
            <a:t>&lt;indicate what you expect i.e. prepare a power point presentation, present the UI of the system or present the back-end or both or share any preferable formats or other overall expectations, demonstrated system should not be any alpha or beta versions, it must be a final production version&gt; </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schemeClr val="accent1"/>
              </a:solidFill>
              <a:effectLst/>
              <a:uLnTx/>
              <a:uFillTx/>
              <a:latin typeface="+mn-lt"/>
              <a:ea typeface="+mn-ea"/>
              <a:cs typeface="+mn-cs"/>
            </a:rPr>
            <a:t>&lt;if demonstrations will be done in person, edit then include the following delete if not applicable:&gt; </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All visitors are required to provide identification so please bring a driver's licence or ID, or you may not be allowed into the building. </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Arrive 10 minutes early to sign in your electronic devices at security, you will be collected from the main reception by an Eskom employee. </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A projector with standard VGA connector will be provided, please bring along any adapters you may need i.e. mac book adapter, HDMI etc.</a:t>
          </a:r>
        </a:p>
        <a:p>
          <a:pPr marL="447675"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n-ZA" sz="1100" b="0" i="0" u="none" strike="noStrike" kern="1200" cap="none" spc="0" normalizeH="0" baseline="0" noProof="0" dirty="0">
              <a:ln>
                <a:noFill/>
              </a:ln>
              <a:solidFill>
                <a:prstClr val="black"/>
              </a:solidFill>
              <a:effectLst/>
              <a:uLnTx/>
              <a:uFillTx/>
              <a:latin typeface="+mn-lt"/>
              <a:ea typeface="+mn-ea"/>
              <a:cs typeface="+mn-cs"/>
            </a:rPr>
            <a:t>The venue does not have sound, if you need sound, please bring your own speaker</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endParaRPr kumimoji="0" lang="en-ZA" sz="1100" b="0" i="0" u="none" strike="noStrike" kern="1200" cap="none" spc="0" normalizeH="0" baseline="0" noProof="0" dirty="0">
            <a:ln>
              <a:noFill/>
            </a:ln>
            <a:solidFill>
              <a:prstClr val="black"/>
            </a:solidFill>
            <a:effectLst/>
            <a:uLnTx/>
            <a:uFillTx/>
            <a:latin typeface="+mn-lt"/>
            <a:ea typeface="+mn-ea"/>
            <a:cs typeface="+mn-cs"/>
          </a:endParaRPr>
        </a:p>
      </xdr:txBody>
    </xdr:sp>
    <xdr:clientData/>
  </xdr:twoCellAnchor>
</xdr:wsDr>
</file>

<file path=xl/drawings/drawing20.xml><?xml version="1.0" encoding="utf-8"?>
<xdr:wsDr xmlns:xdr="http://schemas.openxmlformats.org/drawingml/2006/spreadsheetDrawing" xmlns:a="http://schemas.openxmlformats.org/drawingml/2006/main">
  <xdr:oneCellAnchor>
    <xdr:from>
      <xdr:col>15</xdr:col>
      <xdr:colOff>944301</xdr:colOff>
      <xdr:row>0</xdr:row>
      <xdr:rowOff>39757</xdr:rowOff>
    </xdr:from>
    <xdr:ext cx="1553154" cy="445511"/>
    <xdr:pic>
      <xdr:nvPicPr>
        <xdr:cNvPr id="2" name="Picture 1" hidden="1">
          <a:extLst>
            <a:ext uri="{FF2B5EF4-FFF2-40B4-BE49-F238E27FC236}">
              <a16:creationId xmlns:a16="http://schemas.microsoft.com/office/drawing/2014/main" id="{FBC3A320-7274-49B0-ABC5-5C4B63087ED8}"/>
            </a:ext>
          </a:extLst>
        </xdr:cNvPr>
        <xdr:cNvPicPr>
          <a:picLocks noChangeAspect="1"/>
        </xdr:cNvPicPr>
      </xdr:nvPicPr>
      <xdr:blipFill>
        <a:blip xmlns:r="http://schemas.openxmlformats.org/officeDocument/2006/relationships" r:embed="rId1"/>
        <a:stretch>
          <a:fillRect/>
        </a:stretch>
      </xdr:blipFill>
      <xdr:spPr>
        <a:xfrm>
          <a:off x="15708051" y="0"/>
          <a:ext cx="1553154" cy="445511"/>
        </a:xfrm>
        <a:prstGeom prst="rect">
          <a:avLst/>
        </a:prstGeom>
      </xdr:spPr>
    </xdr:pic>
    <xdr:clientData/>
  </xdr:oneCellAnchor>
  <xdr:oneCellAnchor>
    <xdr:from>
      <xdr:col>15</xdr:col>
      <xdr:colOff>944301</xdr:colOff>
      <xdr:row>0</xdr:row>
      <xdr:rowOff>39757</xdr:rowOff>
    </xdr:from>
    <xdr:ext cx="1553154" cy="443183"/>
    <xdr:pic>
      <xdr:nvPicPr>
        <xdr:cNvPr id="3" name="Picture 2" hidden="1">
          <a:extLst>
            <a:ext uri="{FF2B5EF4-FFF2-40B4-BE49-F238E27FC236}">
              <a16:creationId xmlns:a16="http://schemas.microsoft.com/office/drawing/2014/main" id="{FA580177-D433-4EA5-83CB-022A5259ECB2}"/>
            </a:ext>
          </a:extLst>
        </xdr:cNvPr>
        <xdr:cNvPicPr>
          <a:picLocks noChangeAspect="1"/>
        </xdr:cNvPicPr>
      </xdr:nvPicPr>
      <xdr:blipFill>
        <a:blip xmlns:r="http://schemas.openxmlformats.org/officeDocument/2006/relationships" r:embed="rId1"/>
        <a:stretch>
          <a:fillRect/>
        </a:stretch>
      </xdr:blipFill>
      <xdr:spPr>
        <a:xfrm>
          <a:off x="15708051" y="0"/>
          <a:ext cx="1553154" cy="443183"/>
        </a:xfrm>
        <a:prstGeom prst="rect">
          <a:avLst/>
        </a:prstGeom>
      </xdr:spPr>
    </xdr:pic>
    <xdr:clientData/>
  </xdr:oneCellAnchor>
  <xdr:oneCellAnchor>
    <xdr:from>
      <xdr:col>15</xdr:col>
      <xdr:colOff>944301</xdr:colOff>
      <xdr:row>0</xdr:row>
      <xdr:rowOff>0</xdr:rowOff>
    </xdr:from>
    <xdr:ext cx="1553154" cy="498428"/>
    <xdr:pic>
      <xdr:nvPicPr>
        <xdr:cNvPr id="4" name="Picture 3" hidden="1">
          <a:extLst>
            <a:ext uri="{FF2B5EF4-FFF2-40B4-BE49-F238E27FC236}">
              <a16:creationId xmlns:a16="http://schemas.microsoft.com/office/drawing/2014/main" id="{E73E861D-A122-4F49-B235-451D229FF8DB}"/>
            </a:ext>
          </a:extLst>
        </xdr:cNvPr>
        <xdr:cNvPicPr>
          <a:picLocks noChangeAspect="1"/>
        </xdr:cNvPicPr>
      </xdr:nvPicPr>
      <xdr:blipFill>
        <a:blip xmlns:r="http://schemas.openxmlformats.org/officeDocument/2006/relationships" r:embed="rId1"/>
        <a:stretch>
          <a:fillRect/>
        </a:stretch>
      </xdr:blipFill>
      <xdr:spPr>
        <a:xfrm>
          <a:off x="15708051" y="0"/>
          <a:ext cx="1553154" cy="498428"/>
        </a:xfrm>
        <a:prstGeom prst="rect">
          <a:avLst/>
        </a:prstGeom>
      </xdr:spPr>
    </xdr:pic>
    <xdr:clientData/>
  </xdr:oneCellAnchor>
</xdr:wsDr>
</file>

<file path=xl/drawings/drawing21.xml><?xml version="1.0" encoding="utf-8"?>
<xdr:wsDr xmlns:xdr="http://schemas.openxmlformats.org/drawingml/2006/spreadsheetDrawing" xmlns:a="http://schemas.openxmlformats.org/drawingml/2006/main">
  <xdr:oneCellAnchor>
    <xdr:from>
      <xdr:col>11</xdr:col>
      <xdr:colOff>944301</xdr:colOff>
      <xdr:row>0</xdr:row>
      <xdr:rowOff>39757</xdr:rowOff>
    </xdr:from>
    <xdr:ext cx="1553154" cy="445511"/>
    <xdr:pic>
      <xdr:nvPicPr>
        <xdr:cNvPr id="2" name="Picture 1" hidden="1">
          <a:extLst>
            <a:ext uri="{FF2B5EF4-FFF2-40B4-BE49-F238E27FC236}">
              <a16:creationId xmlns:a16="http://schemas.microsoft.com/office/drawing/2014/main" id="{581FBC6B-73E1-4189-9339-2BED78A36976}"/>
            </a:ext>
          </a:extLst>
        </xdr:cNvPr>
        <xdr:cNvPicPr>
          <a:picLocks noChangeAspect="1"/>
        </xdr:cNvPicPr>
      </xdr:nvPicPr>
      <xdr:blipFill>
        <a:blip xmlns:r="http://schemas.openxmlformats.org/officeDocument/2006/relationships" r:embed="rId1"/>
        <a:stretch>
          <a:fillRect/>
        </a:stretch>
      </xdr:blipFill>
      <xdr:spPr>
        <a:xfrm>
          <a:off x="12869601" y="39757"/>
          <a:ext cx="1553154" cy="445511"/>
        </a:xfrm>
        <a:prstGeom prst="rect">
          <a:avLst/>
        </a:prstGeom>
      </xdr:spPr>
    </xdr:pic>
    <xdr:clientData/>
  </xdr:oneCellAnchor>
  <xdr:oneCellAnchor>
    <xdr:from>
      <xdr:col>11</xdr:col>
      <xdr:colOff>944301</xdr:colOff>
      <xdr:row>0</xdr:row>
      <xdr:rowOff>39757</xdr:rowOff>
    </xdr:from>
    <xdr:ext cx="1553154" cy="443183"/>
    <xdr:pic>
      <xdr:nvPicPr>
        <xdr:cNvPr id="3" name="Picture 2" hidden="1">
          <a:extLst>
            <a:ext uri="{FF2B5EF4-FFF2-40B4-BE49-F238E27FC236}">
              <a16:creationId xmlns:a16="http://schemas.microsoft.com/office/drawing/2014/main" id="{90965831-A9F5-41D0-A95F-F531E73132BD}"/>
            </a:ext>
          </a:extLst>
        </xdr:cNvPr>
        <xdr:cNvPicPr>
          <a:picLocks noChangeAspect="1"/>
        </xdr:cNvPicPr>
      </xdr:nvPicPr>
      <xdr:blipFill>
        <a:blip xmlns:r="http://schemas.openxmlformats.org/officeDocument/2006/relationships" r:embed="rId1"/>
        <a:stretch>
          <a:fillRect/>
        </a:stretch>
      </xdr:blipFill>
      <xdr:spPr>
        <a:xfrm>
          <a:off x="12869601" y="39757"/>
          <a:ext cx="1553154" cy="443183"/>
        </a:xfrm>
        <a:prstGeom prst="rect">
          <a:avLst/>
        </a:prstGeom>
      </xdr:spPr>
    </xdr:pic>
    <xdr:clientData/>
  </xdr:oneCellAnchor>
  <xdr:oneCellAnchor>
    <xdr:from>
      <xdr:col>11</xdr:col>
      <xdr:colOff>944301</xdr:colOff>
      <xdr:row>0</xdr:row>
      <xdr:rowOff>0</xdr:rowOff>
    </xdr:from>
    <xdr:ext cx="1553154" cy="498428"/>
    <xdr:pic>
      <xdr:nvPicPr>
        <xdr:cNvPr id="4" name="Picture 3" hidden="1">
          <a:extLst>
            <a:ext uri="{FF2B5EF4-FFF2-40B4-BE49-F238E27FC236}">
              <a16:creationId xmlns:a16="http://schemas.microsoft.com/office/drawing/2014/main" id="{65FE7EA0-C5FC-48E9-868A-02FD98BD0DCD}"/>
            </a:ext>
          </a:extLst>
        </xdr:cNvPr>
        <xdr:cNvPicPr>
          <a:picLocks noChangeAspect="1"/>
        </xdr:cNvPicPr>
      </xdr:nvPicPr>
      <xdr:blipFill>
        <a:blip xmlns:r="http://schemas.openxmlformats.org/officeDocument/2006/relationships" r:embed="rId1"/>
        <a:stretch>
          <a:fillRect/>
        </a:stretch>
      </xdr:blipFill>
      <xdr:spPr>
        <a:xfrm>
          <a:off x="12869601" y="0"/>
          <a:ext cx="1553154" cy="498428"/>
        </a:xfrm>
        <a:prstGeom prst="rect">
          <a:avLst/>
        </a:prstGeom>
      </xdr:spPr>
    </xdr:pic>
    <xdr:clientData/>
  </xdr:one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141</xdr:row>
      <xdr:rowOff>0</xdr:rowOff>
    </xdr:from>
    <xdr:to>
      <xdr:col>5</xdr:col>
      <xdr:colOff>452530</xdr:colOff>
      <xdr:row>175</xdr:row>
      <xdr:rowOff>87336</xdr:rowOff>
    </xdr:to>
    <xdr:pic>
      <xdr:nvPicPr>
        <xdr:cNvPr id="3" name="Picture 2">
          <a:extLst>
            <a:ext uri="{FF2B5EF4-FFF2-40B4-BE49-F238E27FC236}">
              <a16:creationId xmlns:a16="http://schemas.microsoft.com/office/drawing/2014/main" id="{DA1125CE-24F7-1E3C-9E63-1ECF910945D1}"/>
            </a:ext>
          </a:extLst>
        </xdr:cNvPr>
        <xdr:cNvPicPr>
          <a:picLocks noChangeAspect="1"/>
        </xdr:cNvPicPr>
      </xdr:nvPicPr>
      <xdr:blipFill>
        <a:blip xmlns:r="http://schemas.openxmlformats.org/officeDocument/2006/relationships" r:embed="rId1"/>
        <a:stretch>
          <a:fillRect/>
        </a:stretch>
      </xdr:blipFill>
      <xdr:spPr>
        <a:xfrm>
          <a:off x="0" y="31935420"/>
          <a:ext cx="9653534" cy="5318760"/>
        </a:xfrm>
        <a:prstGeom prst="rect">
          <a:avLst/>
        </a:prstGeom>
      </xdr:spPr>
    </xdr:pic>
    <xdr:clientData/>
  </xdr:twoCellAnchor>
  <xdr:twoCellAnchor editAs="oneCell">
    <xdr:from>
      <xdr:col>0</xdr:col>
      <xdr:colOff>0</xdr:colOff>
      <xdr:row>170</xdr:row>
      <xdr:rowOff>0</xdr:rowOff>
    </xdr:from>
    <xdr:to>
      <xdr:col>3</xdr:col>
      <xdr:colOff>150126</xdr:colOff>
      <xdr:row>199</xdr:row>
      <xdr:rowOff>11232</xdr:rowOff>
    </xdr:to>
    <xdr:pic>
      <xdr:nvPicPr>
        <xdr:cNvPr id="4" name="Picture 3">
          <a:extLst>
            <a:ext uri="{FF2B5EF4-FFF2-40B4-BE49-F238E27FC236}">
              <a16:creationId xmlns:a16="http://schemas.microsoft.com/office/drawing/2014/main" id="{0E4FB973-A364-484B-7ABB-4DF84B160B1C}"/>
            </a:ext>
          </a:extLst>
        </xdr:cNvPr>
        <xdr:cNvPicPr>
          <a:picLocks noChangeAspect="1"/>
        </xdr:cNvPicPr>
      </xdr:nvPicPr>
      <xdr:blipFill>
        <a:blip xmlns:r="http://schemas.openxmlformats.org/officeDocument/2006/relationships" r:embed="rId2"/>
        <a:stretch>
          <a:fillRect/>
        </a:stretch>
      </xdr:blipFill>
      <xdr:spPr>
        <a:xfrm>
          <a:off x="0" y="37459920"/>
          <a:ext cx="5883150" cy="44733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eskom.sharepoint.com/personal/jlouisl_eskom_co_za/Documents/Documents/December%202022/Workflow%20docs/procedures%20and%20policy/Technical%20Evaluation%20procuedure/March%20Review/Billing%20System%20-%20Technical%20Evaluation%20Criteria%20v2.xlsm?E55266E7" TargetMode="External"/><Relationship Id="rId1" Type="http://schemas.openxmlformats.org/officeDocument/2006/relationships/externalLinkPath" Target="file:///\\E55266E7\Billing%20System%20-%20Technical%20Evaluation%20Criteria%20v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eskom.sharepoint.com/teams/DxCommercialEnergyTrader/Shared%20Documents/General/TEC/Billing%20System%20-%20Technical%20Evaluation%20Criteria%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ponse Guidelines"/>
      <sheetName val="Summary"/>
      <sheetName val="Key Requirements"/>
      <sheetName val="Functional - Core + Admin"/>
      <sheetName val="Functional - General"/>
      <sheetName val="Organisational Requirements (2)"/>
      <sheetName val="Functional - Custom + New etc."/>
      <sheetName val="Functional - MCBD"/>
      <sheetName val="Functional - Simplify the bill"/>
      <sheetName val="Functional - Debt Mgt"/>
      <sheetName val="Non-Functional"/>
      <sheetName val="Integration and Testing"/>
      <sheetName val="Cloud"/>
      <sheetName val="Security"/>
      <sheetName val="Demo"/>
      <sheetName val="Resources"/>
      <sheetName val="Project Management"/>
      <sheetName val="Organisational Requirements"/>
      <sheetName val="Acronyms and Definitions"/>
      <sheetName val="Demonstration"/>
      <sheetName val="Priority Ratings"/>
      <sheetName val="Config"/>
      <sheetName val="Concerns and Recommenda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ponse Guidelines"/>
      <sheetName val="Summary"/>
      <sheetName val="Key Requirements"/>
      <sheetName val="Functional - Core + Admin"/>
      <sheetName val="Functional - General"/>
      <sheetName val="Organisational Requirements (2)"/>
      <sheetName val="Functional - Custom + New etc."/>
      <sheetName val="Functional - MCBD"/>
      <sheetName val="Functional - Simplify the bill"/>
      <sheetName val="Functional - Debt Mgt"/>
      <sheetName val="Non-Functional"/>
      <sheetName val="Integration and Testing"/>
      <sheetName val="Cloud"/>
      <sheetName val="Security"/>
      <sheetName val="Demo"/>
      <sheetName val="Resources"/>
      <sheetName val="Project Management"/>
      <sheetName val="Organisational Requirements"/>
      <sheetName val="Acronyms and Definitions"/>
      <sheetName val="Demonstration"/>
      <sheetName val="Priority Ratings"/>
      <sheetName val="Config"/>
      <sheetName val="Concerns and Recommenda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E8DBA-558F-46A3-9FDC-6536A3099C51}">
  <dimension ref="A1:R208"/>
  <sheetViews>
    <sheetView zoomScaleNormal="100" workbookViewId="0">
      <selection activeCell="A203" sqref="A203:XFD205"/>
    </sheetView>
  </sheetViews>
  <sheetFormatPr defaultColWidth="9.26953125" defaultRowHeight="14" x14ac:dyDescent="0.35"/>
  <cols>
    <col min="1" max="1" width="1.7265625" style="1" customWidth="1"/>
    <col min="2" max="2" width="3.54296875" style="1" customWidth="1"/>
    <col min="3" max="3" width="35.26953125" style="2" customWidth="1"/>
    <col min="4" max="4" width="37.54296875" style="2" customWidth="1"/>
    <col min="5" max="5" width="11.26953125" style="1" customWidth="1"/>
    <col min="6" max="16384" width="9.26953125" style="1"/>
  </cols>
  <sheetData>
    <row r="1" spans="1:13" x14ac:dyDescent="0.35">
      <c r="A1" s="88"/>
    </row>
    <row r="2" spans="1:13" ht="21" customHeight="1" x14ac:dyDescent="0.35">
      <c r="A2" s="88"/>
      <c r="B2" s="385" t="s">
        <v>0</v>
      </c>
      <c r="C2" s="385"/>
      <c r="D2" s="385"/>
      <c r="E2" s="385"/>
      <c r="F2" s="385"/>
      <c r="G2" s="385"/>
      <c r="H2" s="385"/>
      <c r="I2" s="385"/>
      <c r="J2" s="385"/>
      <c r="K2" s="385"/>
    </row>
    <row r="3" spans="1:13" ht="14.5" x14ac:dyDescent="0.35">
      <c r="A3" s="88"/>
      <c r="B3" s="2"/>
      <c r="C3" s="380"/>
      <c r="D3" s="386"/>
    </row>
    <row r="4" spans="1:13" ht="7.15" customHeight="1" x14ac:dyDescent="0.35">
      <c r="A4" s="88"/>
      <c r="B4" s="380"/>
      <c r="C4" s="380"/>
    </row>
    <row r="5" spans="1:13" s="9" customFormat="1" ht="24" customHeight="1" x14ac:dyDescent="0.35">
      <c r="A5" s="89"/>
      <c r="B5" s="381" t="s">
        <v>1</v>
      </c>
      <c r="C5" s="382"/>
      <c r="D5" s="382"/>
      <c r="E5" s="382"/>
      <c r="F5" s="382"/>
      <c r="G5" s="382"/>
      <c r="H5" s="382"/>
      <c r="I5" s="382"/>
      <c r="J5" s="382"/>
      <c r="K5" s="382"/>
    </row>
    <row r="6" spans="1:13" ht="8.25" customHeight="1" x14ac:dyDescent="0.35">
      <c r="A6" s="88"/>
      <c r="B6" s="5"/>
      <c r="E6" s="4"/>
    </row>
    <row r="7" spans="1:13" ht="13.9" customHeight="1" x14ac:dyDescent="0.35">
      <c r="A7" s="88"/>
      <c r="B7" s="90" t="s">
        <v>2</v>
      </c>
      <c r="C7" s="376" t="s">
        <v>3</v>
      </c>
      <c r="D7" s="376"/>
      <c r="E7" s="376"/>
      <c r="F7" s="376"/>
      <c r="G7" s="376"/>
      <c r="H7" s="376"/>
      <c r="I7" s="376"/>
      <c r="J7" s="376"/>
      <c r="K7" s="376"/>
    </row>
    <row r="8" spans="1:13" ht="13.9" customHeight="1" x14ac:dyDescent="0.35">
      <c r="A8" s="88"/>
      <c r="B8" s="99"/>
      <c r="C8" s="376" t="s">
        <v>4</v>
      </c>
      <c r="D8" s="376"/>
      <c r="E8" s="376"/>
      <c r="F8" s="376"/>
      <c r="G8" s="376"/>
      <c r="H8" s="376"/>
      <c r="I8" s="376"/>
      <c r="J8" s="376"/>
      <c r="K8" s="376"/>
    </row>
    <row r="9" spans="1:13" ht="15.75" customHeight="1" x14ac:dyDescent="0.35">
      <c r="A9" s="88"/>
      <c r="B9" s="91"/>
      <c r="C9" s="377" t="s">
        <v>5</v>
      </c>
      <c r="D9" s="378"/>
      <c r="E9" s="378"/>
      <c r="F9" s="378"/>
      <c r="G9" s="378"/>
      <c r="H9" s="378"/>
      <c r="I9" s="378"/>
      <c r="J9" s="378"/>
      <c r="K9" s="378"/>
    </row>
    <row r="10" spans="1:13" ht="15.75" customHeight="1" x14ac:dyDescent="0.35">
      <c r="A10" s="88"/>
      <c r="B10" s="305"/>
      <c r="C10" s="213" t="s">
        <v>6</v>
      </c>
      <c r="D10" s="214"/>
      <c r="E10" s="214"/>
      <c r="F10" s="214"/>
      <c r="G10" s="214"/>
      <c r="H10" s="214"/>
      <c r="I10" s="214"/>
      <c r="J10" s="214"/>
      <c r="K10" s="214"/>
    </row>
    <row r="11" spans="1:13" ht="15.75" customHeight="1" x14ac:dyDescent="0.35">
      <c r="A11" s="88"/>
      <c r="B11" s="92"/>
      <c r="C11" s="348" t="s">
        <v>7</v>
      </c>
      <c r="D11" s="384" t="s">
        <v>1310</v>
      </c>
      <c r="E11" s="384"/>
      <c r="F11" s="384"/>
      <c r="G11" s="384"/>
      <c r="H11" s="384"/>
      <c r="I11" s="384"/>
      <c r="J11" s="384"/>
      <c r="K11" s="384"/>
    </row>
    <row r="12" spans="1:13" ht="15.75" customHeight="1" x14ac:dyDescent="0.35">
      <c r="A12" s="88"/>
      <c r="B12" s="93"/>
      <c r="C12" s="348" t="s">
        <v>8</v>
      </c>
      <c r="D12" s="349"/>
      <c r="E12" s="349"/>
      <c r="F12" s="349"/>
      <c r="G12" s="349"/>
      <c r="H12" s="349"/>
      <c r="I12" s="349"/>
      <c r="J12" s="349"/>
      <c r="K12" s="349"/>
    </row>
    <row r="13" spans="1:13" ht="15.75" customHeight="1" x14ac:dyDescent="0.35">
      <c r="A13" s="88"/>
      <c r="B13" s="94"/>
      <c r="C13" s="348" t="s">
        <v>9</v>
      </c>
      <c r="D13" s="349"/>
      <c r="E13" s="349"/>
      <c r="F13" s="349"/>
      <c r="G13" s="349"/>
      <c r="H13" s="349"/>
      <c r="I13" s="349"/>
      <c r="J13" s="349"/>
      <c r="K13" s="349"/>
    </row>
    <row r="14" spans="1:13" ht="15.75" customHeight="1" x14ac:dyDescent="0.35">
      <c r="A14" s="88"/>
      <c r="B14" s="94"/>
      <c r="C14" s="213" t="s">
        <v>10</v>
      </c>
      <c r="D14" s="214"/>
      <c r="E14" s="214"/>
      <c r="F14" s="214"/>
      <c r="G14" s="214"/>
      <c r="H14" s="214"/>
      <c r="I14" s="214"/>
      <c r="J14" s="214"/>
      <c r="K14" s="214"/>
    </row>
    <row r="15" spans="1:13" ht="15.75" customHeight="1" x14ac:dyDescent="0.35">
      <c r="A15" s="88"/>
      <c r="B15" s="94"/>
      <c r="C15" s="213" t="s">
        <v>11</v>
      </c>
      <c r="D15" s="214"/>
      <c r="E15" s="214"/>
      <c r="F15" s="214"/>
      <c r="G15" s="214"/>
      <c r="H15" s="214"/>
      <c r="I15" s="214"/>
      <c r="J15" s="214"/>
      <c r="K15" s="214"/>
    </row>
    <row r="16" spans="1:13" ht="15.75" customHeight="1" x14ac:dyDescent="0.35">
      <c r="A16" s="88"/>
      <c r="B16" s="95"/>
      <c r="C16" s="377" t="s">
        <v>12</v>
      </c>
      <c r="D16" s="378"/>
      <c r="E16" s="378"/>
      <c r="F16" s="378"/>
      <c r="G16" s="378"/>
      <c r="H16" s="378"/>
      <c r="I16" s="378"/>
      <c r="J16" s="378"/>
      <c r="K16" s="378"/>
      <c r="M16" s="46"/>
    </row>
    <row r="17" spans="1:18" ht="7.5" customHeight="1" x14ac:dyDescent="0.35">
      <c r="A17" s="88"/>
      <c r="B17" s="380"/>
      <c r="C17" s="380"/>
    </row>
    <row r="18" spans="1:18" ht="202.15" customHeight="1" x14ac:dyDescent="0.35">
      <c r="A18" s="88"/>
      <c r="B18" s="90" t="s">
        <v>2</v>
      </c>
      <c r="C18" s="380" t="s">
        <v>13</v>
      </c>
      <c r="D18" s="380"/>
      <c r="E18" s="380"/>
      <c r="F18" s="380"/>
      <c r="G18" s="380"/>
      <c r="H18" s="380"/>
      <c r="I18" s="380"/>
      <c r="J18" s="380"/>
      <c r="K18" s="380"/>
    </row>
    <row r="19" spans="1:18" ht="46.9" customHeight="1" x14ac:dyDescent="0.35">
      <c r="A19" s="88"/>
      <c r="B19" s="380"/>
      <c r="C19" s="380"/>
    </row>
    <row r="20" spans="1:18" ht="7.5" customHeight="1" x14ac:dyDescent="0.35">
      <c r="A20" s="88"/>
      <c r="B20" s="380"/>
      <c r="C20" s="380"/>
    </row>
    <row r="21" spans="1:18" s="7" customFormat="1" x14ac:dyDescent="0.35">
      <c r="A21" s="88"/>
      <c r="B21" s="2"/>
      <c r="C21" s="2"/>
      <c r="D21" s="2"/>
      <c r="E21" s="1"/>
      <c r="F21" s="1"/>
      <c r="G21" s="1"/>
      <c r="H21" s="1"/>
      <c r="I21" s="1"/>
      <c r="J21" s="1"/>
      <c r="K21" s="1"/>
      <c r="L21" s="1"/>
      <c r="M21" s="1"/>
      <c r="N21" s="1"/>
      <c r="O21" s="1"/>
      <c r="P21" s="1"/>
      <c r="Q21" s="1"/>
      <c r="R21" s="1"/>
    </row>
    <row r="22" spans="1:18" s="8" customFormat="1" ht="24" customHeight="1" x14ac:dyDescent="0.35">
      <c r="A22" s="89"/>
      <c r="B22" s="381" t="s">
        <v>14</v>
      </c>
      <c r="C22" s="382"/>
      <c r="D22" s="382"/>
      <c r="E22" s="382"/>
      <c r="F22" s="382"/>
      <c r="G22" s="382"/>
      <c r="H22" s="382"/>
      <c r="I22" s="382"/>
      <c r="J22" s="382"/>
      <c r="K22" s="382"/>
      <c r="L22" s="9"/>
      <c r="M22" s="9"/>
      <c r="N22" s="9"/>
      <c r="O22" s="9"/>
      <c r="P22" s="9"/>
      <c r="Q22" s="9"/>
      <c r="R22" s="9"/>
    </row>
    <row r="23" spans="1:18" s="7" customFormat="1" ht="8.25" customHeight="1" x14ac:dyDescent="0.35">
      <c r="A23" s="88"/>
      <c r="B23" s="1"/>
      <c r="C23" s="96"/>
      <c r="D23" s="96"/>
      <c r="E23" s="1"/>
      <c r="F23" s="1"/>
      <c r="G23" s="1"/>
      <c r="H23" s="1"/>
      <c r="I23" s="1"/>
      <c r="J23" s="1"/>
      <c r="K23" s="1"/>
      <c r="L23" s="1"/>
      <c r="M23" s="1"/>
      <c r="N23" s="1"/>
      <c r="O23" s="1"/>
      <c r="P23" s="1"/>
      <c r="Q23" s="1"/>
      <c r="R23" s="1"/>
    </row>
    <row r="24" spans="1:18" s="7" customFormat="1" ht="28.15" customHeight="1" x14ac:dyDescent="0.35">
      <c r="A24" s="88"/>
      <c r="B24" s="97" t="s">
        <v>2</v>
      </c>
      <c r="C24" s="98" t="s">
        <v>15</v>
      </c>
      <c r="D24" s="383" t="s">
        <v>16</v>
      </c>
      <c r="E24" s="383"/>
      <c r="F24" s="383"/>
      <c r="G24" s="383"/>
      <c r="H24" s="383"/>
      <c r="I24" s="383"/>
      <c r="J24" s="383"/>
      <c r="K24" s="383"/>
      <c r="L24" s="1"/>
      <c r="M24" s="1"/>
      <c r="N24" s="1"/>
      <c r="O24" s="1"/>
      <c r="P24" s="1"/>
      <c r="Q24" s="1"/>
      <c r="R24" s="1"/>
    </row>
    <row r="25" spans="1:18" x14ac:dyDescent="0.35">
      <c r="C25" s="96"/>
      <c r="D25" s="96"/>
    </row>
    <row r="71" spans="2:4" s="2" customFormat="1" x14ac:dyDescent="0.35">
      <c r="C71" s="85" t="s">
        <v>17</v>
      </c>
      <c r="D71" s="86"/>
    </row>
    <row r="72" spans="2:4" s="2" customFormat="1" x14ac:dyDescent="0.35">
      <c r="C72" s="86" t="s">
        <v>18</v>
      </c>
      <c r="D72" s="86"/>
    </row>
    <row r="73" spans="2:4" s="2" customFormat="1" x14ac:dyDescent="0.35">
      <c r="C73" s="86" t="s">
        <v>19</v>
      </c>
      <c r="D73" s="86"/>
    </row>
    <row r="74" spans="2:4" x14ac:dyDescent="0.35">
      <c r="C74" s="86" t="s">
        <v>20</v>
      </c>
      <c r="D74" s="86"/>
    </row>
    <row r="75" spans="2:4" x14ac:dyDescent="0.35">
      <c r="C75" s="86"/>
      <c r="D75" s="86"/>
    </row>
    <row r="76" spans="2:4" ht="28" x14ac:dyDescent="0.35">
      <c r="C76" s="86" t="s">
        <v>21</v>
      </c>
      <c r="D76" s="86"/>
    </row>
    <row r="77" spans="2:4" x14ac:dyDescent="0.35">
      <c r="B77" s="379"/>
      <c r="C77" s="86"/>
      <c r="D77" s="86"/>
    </row>
    <row r="78" spans="2:4" x14ac:dyDescent="0.35">
      <c r="B78" s="379"/>
      <c r="C78" s="86"/>
      <c r="D78" s="86"/>
    </row>
    <row r="79" spans="2:4" x14ac:dyDescent="0.35">
      <c r="C79" s="86"/>
      <c r="D79" s="86"/>
    </row>
    <row r="80" spans="2:4" x14ac:dyDescent="0.35">
      <c r="C80" s="85" t="s">
        <v>22</v>
      </c>
      <c r="D80" s="85"/>
    </row>
    <row r="81" spans="3:8" x14ac:dyDescent="0.35">
      <c r="C81" s="86">
        <v>0</v>
      </c>
      <c r="D81" s="86" t="s">
        <v>23</v>
      </c>
    </row>
    <row r="82" spans="3:8" x14ac:dyDescent="0.35">
      <c r="C82" s="86">
        <v>1</v>
      </c>
      <c r="D82" s="86" t="s">
        <v>24</v>
      </c>
    </row>
    <row r="83" spans="3:8" x14ac:dyDescent="0.35">
      <c r="C83" s="86">
        <v>2</v>
      </c>
      <c r="D83" s="86" t="s">
        <v>25</v>
      </c>
    </row>
    <row r="84" spans="3:8" x14ac:dyDescent="0.35">
      <c r="C84" s="86">
        <v>3</v>
      </c>
      <c r="D84" s="86" t="s">
        <v>26</v>
      </c>
    </row>
    <row r="85" spans="3:8" x14ac:dyDescent="0.35">
      <c r="C85" s="86">
        <v>4</v>
      </c>
      <c r="D85" s="86" t="s">
        <v>27</v>
      </c>
    </row>
    <row r="86" spans="3:8" x14ac:dyDescent="0.35">
      <c r="C86" s="86">
        <v>5</v>
      </c>
      <c r="D86" s="86" t="s">
        <v>28</v>
      </c>
    </row>
    <row r="87" spans="3:8" x14ac:dyDescent="0.35">
      <c r="C87" s="86">
        <v>6</v>
      </c>
      <c r="D87" s="86" t="s">
        <v>29</v>
      </c>
    </row>
    <row r="88" spans="3:8" x14ac:dyDescent="0.35">
      <c r="C88" s="86"/>
      <c r="D88" s="86"/>
    </row>
    <row r="89" spans="3:8" x14ac:dyDescent="0.35">
      <c r="C89" s="86"/>
      <c r="D89" s="86"/>
      <c r="H89" s="6"/>
    </row>
    <row r="90" spans="3:8" x14ac:dyDescent="0.35">
      <c r="C90" s="85" t="s">
        <v>30</v>
      </c>
      <c r="D90" s="86"/>
    </row>
    <row r="91" spans="3:8" x14ac:dyDescent="0.35">
      <c r="C91" s="86" t="s">
        <v>31</v>
      </c>
      <c r="D91" s="85" t="s">
        <v>32</v>
      </c>
      <c r="E91" s="4"/>
    </row>
    <row r="92" spans="3:8" x14ac:dyDescent="0.35">
      <c r="C92" s="86">
        <v>1</v>
      </c>
      <c r="D92" s="87">
        <v>1</v>
      </c>
      <c r="E92" s="3"/>
    </row>
    <row r="93" spans="3:8" x14ac:dyDescent="0.35">
      <c r="C93" s="86">
        <v>1.0101010101010102</v>
      </c>
      <c r="D93" s="87">
        <v>0.99</v>
      </c>
      <c r="E93" s="3"/>
    </row>
    <row r="94" spans="3:8" x14ac:dyDescent="0.35">
      <c r="C94" s="86">
        <v>1.0204081632653061</v>
      </c>
      <c r="D94" s="87">
        <v>0.98</v>
      </c>
      <c r="E94" s="3"/>
    </row>
    <row r="95" spans="3:8" x14ac:dyDescent="0.35">
      <c r="C95" s="86">
        <v>1.0309278350515465</v>
      </c>
      <c r="D95" s="87">
        <v>0.97</v>
      </c>
      <c r="E95" s="3"/>
    </row>
    <row r="96" spans="3:8" x14ac:dyDescent="0.35">
      <c r="C96" s="86">
        <v>1.0416666666666667</v>
      </c>
      <c r="D96" s="87">
        <v>0.96</v>
      </c>
      <c r="E96" s="3"/>
    </row>
    <row r="97" spans="3:5" x14ac:dyDescent="0.35">
      <c r="C97" s="86">
        <v>1.0526315789473684</v>
      </c>
      <c r="D97" s="87">
        <v>0.95</v>
      </c>
      <c r="E97" s="3"/>
    </row>
    <row r="98" spans="3:5" x14ac:dyDescent="0.35">
      <c r="C98" s="86">
        <v>1.0638297872340425</v>
      </c>
      <c r="D98" s="87">
        <v>0.94</v>
      </c>
      <c r="E98" s="3"/>
    </row>
    <row r="99" spans="3:5" x14ac:dyDescent="0.35">
      <c r="C99" s="86">
        <v>1.075268817204301</v>
      </c>
      <c r="D99" s="87">
        <v>0.93</v>
      </c>
      <c r="E99" s="3"/>
    </row>
    <row r="100" spans="3:5" x14ac:dyDescent="0.35">
      <c r="C100" s="86">
        <v>1.0869565217391304</v>
      </c>
      <c r="D100" s="87">
        <v>0.92</v>
      </c>
      <c r="E100" s="3"/>
    </row>
    <row r="101" spans="3:5" x14ac:dyDescent="0.35">
      <c r="C101" s="86">
        <v>1.0989010989010988</v>
      </c>
      <c r="D101" s="87">
        <v>0.91</v>
      </c>
      <c r="E101" s="3"/>
    </row>
    <row r="102" spans="3:5" x14ac:dyDescent="0.35">
      <c r="C102" s="86">
        <v>1.1111111111111112</v>
      </c>
      <c r="D102" s="87">
        <v>0.9</v>
      </c>
      <c r="E102" s="3"/>
    </row>
    <row r="103" spans="3:5" x14ac:dyDescent="0.35">
      <c r="C103" s="86">
        <v>1.1235955056179776</v>
      </c>
      <c r="D103" s="87">
        <v>0.89</v>
      </c>
      <c r="E103" s="3"/>
    </row>
    <row r="104" spans="3:5" x14ac:dyDescent="0.35">
      <c r="C104" s="86">
        <v>1.1363636363636365</v>
      </c>
      <c r="D104" s="87">
        <v>0.88</v>
      </c>
      <c r="E104" s="3"/>
    </row>
    <row r="105" spans="3:5" x14ac:dyDescent="0.35">
      <c r="C105" s="86">
        <v>1.1494252873563218</v>
      </c>
      <c r="D105" s="87">
        <v>0.87</v>
      </c>
      <c r="E105" s="3"/>
    </row>
    <row r="106" spans="3:5" x14ac:dyDescent="0.35">
      <c r="C106" s="86">
        <v>1.1627906976744187</v>
      </c>
      <c r="D106" s="87">
        <v>0.86</v>
      </c>
      <c r="E106" s="3"/>
    </row>
    <row r="107" spans="3:5" x14ac:dyDescent="0.35">
      <c r="C107" s="86">
        <v>1.1764705882352942</v>
      </c>
      <c r="D107" s="87">
        <v>0.85</v>
      </c>
      <c r="E107" s="3"/>
    </row>
    <row r="108" spans="3:5" x14ac:dyDescent="0.35">
      <c r="C108" s="86">
        <v>1.1904761904761905</v>
      </c>
      <c r="D108" s="87">
        <v>0.84</v>
      </c>
      <c r="E108" s="3"/>
    </row>
    <row r="109" spans="3:5" x14ac:dyDescent="0.35">
      <c r="C109" s="86">
        <v>1.2048192771084338</v>
      </c>
      <c r="D109" s="87">
        <v>0.83</v>
      </c>
      <c r="E109" s="3"/>
    </row>
    <row r="110" spans="3:5" x14ac:dyDescent="0.35">
      <c r="C110" s="86">
        <v>1.2195121951219512</v>
      </c>
      <c r="D110" s="87">
        <v>0.82</v>
      </c>
      <c r="E110" s="3"/>
    </row>
    <row r="111" spans="3:5" x14ac:dyDescent="0.35">
      <c r="C111" s="86">
        <v>1.2345679012345678</v>
      </c>
      <c r="D111" s="87">
        <v>0.81</v>
      </c>
      <c r="E111" s="3"/>
    </row>
    <row r="112" spans="3:5" x14ac:dyDescent="0.35">
      <c r="C112" s="86">
        <v>1.25</v>
      </c>
      <c r="D112" s="87">
        <v>0.8</v>
      </c>
      <c r="E112" s="3"/>
    </row>
    <row r="113" spans="3:5" x14ac:dyDescent="0.35">
      <c r="C113" s="86">
        <v>1.2658227848101264</v>
      </c>
      <c r="D113" s="87">
        <v>0.79</v>
      </c>
      <c r="E113" s="3"/>
    </row>
    <row r="114" spans="3:5" x14ac:dyDescent="0.35">
      <c r="C114" s="86">
        <v>1.2820512820512819</v>
      </c>
      <c r="D114" s="87">
        <v>0.78</v>
      </c>
      <c r="E114" s="3"/>
    </row>
    <row r="115" spans="3:5" x14ac:dyDescent="0.35">
      <c r="C115" s="86">
        <v>1.2987012987012987</v>
      </c>
      <c r="D115" s="87">
        <v>0.77</v>
      </c>
      <c r="E115" s="3"/>
    </row>
    <row r="116" spans="3:5" x14ac:dyDescent="0.35">
      <c r="C116" s="86">
        <v>1.3157894736842106</v>
      </c>
      <c r="D116" s="87">
        <v>0.76</v>
      </c>
      <c r="E116" s="3"/>
    </row>
    <row r="117" spans="3:5" x14ac:dyDescent="0.35">
      <c r="C117" s="86">
        <v>1.3333333333333333</v>
      </c>
      <c r="D117" s="87">
        <v>0.75</v>
      </c>
      <c r="E117" s="3"/>
    </row>
    <row r="118" spans="3:5" x14ac:dyDescent="0.35">
      <c r="C118" s="86">
        <v>1.3513513513513513</v>
      </c>
      <c r="D118" s="87">
        <v>0.74</v>
      </c>
      <c r="E118" s="3"/>
    </row>
    <row r="119" spans="3:5" x14ac:dyDescent="0.35">
      <c r="C119" s="86">
        <v>1.3698630136986301</v>
      </c>
      <c r="D119" s="87">
        <v>0.73</v>
      </c>
      <c r="E119" s="3"/>
    </row>
    <row r="120" spans="3:5" x14ac:dyDescent="0.35">
      <c r="C120" s="86">
        <v>1.3888888888888888</v>
      </c>
      <c r="D120" s="87">
        <v>0.72</v>
      </c>
      <c r="E120" s="3"/>
    </row>
    <row r="121" spans="3:5" x14ac:dyDescent="0.35">
      <c r="C121" s="86">
        <v>1.4084507042253522</v>
      </c>
      <c r="D121" s="87">
        <v>0.71</v>
      </c>
      <c r="E121" s="3"/>
    </row>
    <row r="122" spans="3:5" x14ac:dyDescent="0.35">
      <c r="C122" s="86">
        <v>1.4285714285714286</v>
      </c>
      <c r="D122" s="87">
        <v>0.7</v>
      </c>
      <c r="E122" s="3"/>
    </row>
    <row r="123" spans="3:5" x14ac:dyDescent="0.35">
      <c r="C123" s="86">
        <v>1.4492753623188408</v>
      </c>
      <c r="D123" s="87">
        <v>0.69</v>
      </c>
      <c r="E123" s="3"/>
    </row>
    <row r="124" spans="3:5" x14ac:dyDescent="0.35">
      <c r="C124" s="86">
        <v>1.4705882352941175</v>
      </c>
      <c r="D124" s="87">
        <v>0.68</v>
      </c>
      <c r="E124" s="3"/>
    </row>
    <row r="125" spans="3:5" x14ac:dyDescent="0.35">
      <c r="C125" s="86">
        <v>1.4925373134328357</v>
      </c>
      <c r="D125" s="87">
        <v>0.67</v>
      </c>
      <c r="E125" s="3"/>
    </row>
    <row r="126" spans="3:5" x14ac:dyDescent="0.35">
      <c r="C126" s="86">
        <v>1.5151515151515151</v>
      </c>
      <c r="D126" s="87">
        <v>0.66</v>
      </c>
      <c r="E126" s="3"/>
    </row>
    <row r="127" spans="3:5" x14ac:dyDescent="0.35">
      <c r="C127" s="86">
        <v>1.5384615384615383</v>
      </c>
      <c r="D127" s="87">
        <v>0.65</v>
      </c>
      <c r="E127" s="3"/>
    </row>
    <row r="128" spans="3:5" x14ac:dyDescent="0.35">
      <c r="C128" s="86">
        <v>1.5625</v>
      </c>
      <c r="D128" s="87">
        <v>0.64</v>
      </c>
      <c r="E128" s="3"/>
    </row>
    <row r="129" spans="3:5" x14ac:dyDescent="0.35">
      <c r="C129" s="86">
        <v>1.5873015873015872</v>
      </c>
      <c r="D129" s="87">
        <v>0.63</v>
      </c>
      <c r="E129" s="3"/>
    </row>
    <row r="130" spans="3:5" x14ac:dyDescent="0.35">
      <c r="C130" s="86">
        <v>1.6129032258064517</v>
      </c>
      <c r="D130" s="87">
        <v>0.62</v>
      </c>
      <c r="E130" s="3"/>
    </row>
    <row r="131" spans="3:5" x14ac:dyDescent="0.35">
      <c r="C131" s="86">
        <v>1.639344262295082</v>
      </c>
      <c r="D131" s="87">
        <v>0.61</v>
      </c>
      <c r="E131" s="3"/>
    </row>
    <row r="132" spans="3:5" x14ac:dyDescent="0.35">
      <c r="C132" s="86">
        <v>1.6666666666666667</v>
      </c>
      <c r="D132" s="87">
        <v>0.6</v>
      </c>
      <c r="E132" s="3"/>
    </row>
    <row r="133" spans="3:5" x14ac:dyDescent="0.35">
      <c r="C133" s="86">
        <v>1.6949152542372883</v>
      </c>
      <c r="D133" s="87">
        <v>0.59</v>
      </c>
      <c r="E133" s="3"/>
    </row>
    <row r="134" spans="3:5" x14ac:dyDescent="0.35">
      <c r="C134" s="86">
        <v>1.7241379310344829</v>
      </c>
      <c r="D134" s="87">
        <v>0.57999999999999996</v>
      </c>
      <c r="E134" s="3"/>
    </row>
    <row r="135" spans="3:5" x14ac:dyDescent="0.35">
      <c r="C135" s="86">
        <v>1.7543859649122808</v>
      </c>
      <c r="D135" s="87">
        <v>0.56999999999999995</v>
      </c>
      <c r="E135" s="3"/>
    </row>
    <row r="136" spans="3:5" x14ac:dyDescent="0.35">
      <c r="C136" s="86">
        <v>1.7857142857142856</v>
      </c>
      <c r="D136" s="87">
        <v>0.56000000000000005</v>
      </c>
      <c r="E136" s="3"/>
    </row>
    <row r="137" spans="3:5" x14ac:dyDescent="0.35">
      <c r="C137" s="86">
        <v>1.8181818181818181</v>
      </c>
      <c r="D137" s="87">
        <v>0.55000000000000004</v>
      </c>
      <c r="E137" s="3"/>
    </row>
    <row r="138" spans="3:5" x14ac:dyDescent="0.35">
      <c r="C138" s="86">
        <v>1.8518518518518516</v>
      </c>
      <c r="D138" s="87">
        <v>0.54</v>
      </c>
      <c r="E138" s="3"/>
    </row>
    <row r="139" spans="3:5" x14ac:dyDescent="0.35">
      <c r="C139" s="86">
        <v>1.8867924528301885</v>
      </c>
      <c r="D139" s="87">
        <v>0.53</v>
      </c>
      <c r="E139" s="3"/>
    </row>
    <row r="140" spans="3:5" x14ac:dyDescent="0.35">
      <c r="C140" s="86">
        <v>1.9230769230769229</v>
      </c>
      <c r="D140" s="87">
        <v>0.52</v>
      </c>
      <c r="E140" s="3"/>
    </row>
    <row r="141" spans="3:5" x14ac:dyDescent="0.35">
      <c r="C141" s="86">
        <v>1.9607843137254901</v>
      </c>
      <c r="D141" s="87">
        <v>0.51</v>
      </c>
      <c r="E141" s="3"/>
    </row>
    <row r="142" spans="3:5" x14ac:dyDescent="0.35">
      <c r="C142" s="86">
        <v>2</v>
      </c>
      <c r="D142" s="87">
        <v>0.5</v>
      </c>
      <c r="E142" s="3"/>
    </row>
    <row r="143" spans="3:5" x14ac:dyDescent="0.35">
      <c r="C143" s="86">
        <v>2.0408163265306123</v>
      </c>
      <c r="D143" s="87">
        <v>0.49</v>
      </c>
      <c r="E143" s="3"/>
    </row>
    <row r="144" spans="3:5" x14ac:dyDescent="0.35">
      <c r="C144" s="86">
        <v>2.0833333333333335</v>
      </c>
      <c r="D144" s="87">
        <v>0.48</v>
      </c>
      <c r="E144" s="3"/>
    </row>
    <row r="145" spans="3:5" x14ac:dyDescent="0.35">
      <c r="C145" s="86">
        <v>2.1276595744680851</v>
      </c>
      <c r="D145" s="87">
        <v>0.47</v>
      </c>
      <c r="E145" s="3"/>
    </row>
    <row r="146" spans="3:5" x14ac:dyDescent="0.35">
      <c r="C146" s="86">
        <v>2.1739130434782608</v>
      </c>
      <c r="D146" s="87">
        <v>0.46</v>
      </c>
      <c r="E146" s="3"/>
    </row>
    <row r="147" spans="3:5" x14ac:dyDescent="0.35">
      <c r="C147" s="86">
        <v>2.2222222222222223</v>
      </c>
      <c r="D147" s="87">
        <v>0.45</v>
      </c>
      <c r="E147" s="3"/>
    </row>
    <row r="148" spans="3:5" x14ac:dyDescent="0.35">
      <c r="C148" s="86">
        <v>2.2727272727272729</v>
      </c>
      <c r="D148" s="87">
        <v>0.44</v>
      </c>
      <c r="E148" s="3"/>
    </row>
    <row r="149" spans="3:5" x14ac:dyDescent="0.35">
      <c r="C149" s="86">
        <v>2.3255813953488427</v>
      </c>
      <c r="D149" s="87">
        <v>0.43</v>
      </c>
      <c r="E149" s="3"/>
    </row>
    <row r="150" spans="3:5" x14ac:dyDescent="0.35">
      <c r="C150" s="86">
        <v>2.3809523809523867</v>
      </c>
      <c r="D150" s="87">
        <v>0.42</v>
      </c>
      <c r="E150" s="3"/>
    </row>
    <row r="151" spans="3:5" x14ac:dyDescent="0.35">
      <c r="C151" s="86">
        <v>2.4390243902439086</v>
      </c>
      <c r="D151" s="87">
        <v>0.41</v>
      </c>
      <c r="E151" s="3"/>
    </row>
    <row r="152" spans="3:5" x14ac:dyDescent="0.35">
      <c r="C152" s="86">
        <v>2.5000000000000062</v>
      </c>
      <c r="D152" s="87">
        <v>0.4</v>
      </c>
      <c r="E152" s="3"/>
    </row>
    <row r="153" spans="3:5" x14ac:dyDescent="0.35">
      <c r="C153" s="86">
        <v>2.5641025641025705</v>
      </c>
      <c r="D153" s="87">
        <v>0.39</v>
      </c>
      <c r="E153" s="3"/>
    </row>
    <row r="154" spans="3:5" x14ac:dyDescent="0.35">
      <c r="C154" s="86">
        <v>2.6315789473684279</v>
      </c>
      <c r="D154" s="87">
        <v>0.38</v>
      </c>
      <c r="E154" s="3"/>
    </row>
    <row r="155" spans="3:5" x14ac:dyDescent="0.35">
      <c r="C155" s="86">
        <v>2.7027027027027102</v>
      </c>
      <c r="D155" s="87">
        <v>0.37</v>
      </c>
      <c r="E155" s="3"/>
    </row>
    <row r="156" spans="3:5" x14ac:dyDescent="0.35">
      <c r="C156" s="86">
        <v>2.7777777777777857</v>
      </c>
      <c r="D156" s="87">
        <v>0.36</v>
      </c>
      <c r="E156" s="3"/>
    </row>
    <row r="157" spans="3:5" x14ac:dyDescent="0.35">
      <c r="C157" s="86">
        <v>2.8571428571428656</v>
      </c>
      <c r="D157" s="87">
        <v>0.35</v>
      </c>
      <c r="E157" s="3"/>
    </row>
    <row r="158" spans="3:5" x14ac:dyDescent="0.35">
      <c r="C158" s="86">
        <v>2.9411764705882439</v>
      </c>
      <c r="D158" s="87">
        <v>0.34</v>
      </c>
      <c r="E158" s="3"/>
    </row>
    <row r="159" spans="3:5" x14ac:dyDescent="0.35">
      <c r="C159" s="86">
        <v>3.0303030303030392</v>
      </c>
      <c r="D159" s="87">
        <v>0.33</v>
      </c>
      <c r="E159" s="3"/>
    </row>
    <row r="160" spans="3:5" x14ac:dyDescent="0.35">
      <c r="C160" s="86">
        <v>3.1250000000000098</v>
      </c>
      <c r="D160" s="87">
        <v>0.32</v>
      </c>
      <c r="E160" s="3"/>
    </row>
    <row r="161" spans="3:5" x14ac:dyDescent="0.35">
      <c r="C161" s="86">
        <v>3.2258064516129137</v>
      </c>
      <c r="D161" s="87">
        <v>0.31</v>
      </c>
      <c r="E161" s="3"/>
    </row>
    <row r="162" spans="3:5" x14ac:dyDescent="0.35">
      <c r="C162" s="86">
        <v>3.3333333333333446</v>
      </c>
      <c r="D162" s="87">
        <v>0.3</v>
      </c>
      <c r="E162" s="3"/>
    </row>
    <row r="163" spans="3:5" x14ac:dyDescent="0.35">
      <c r="C163" s="86">
        <v>3.4482758620689777</v>
      </c>
      <c r="D163" s="87">
        <v>0.28999999999999998</v>
      </c>
      <c r="E163" s="3"/>
    </row>
    <row r="164" spans="3:5" x14ac:dyDescent="0.35">
      <c r="C164" s="86">
        <v>3.5714285714285841</v>
      </c>
      <c r="D164" s="87">
        <v>0.28000000000000003</v>
      </c>
      <c r="E164" s="3"/>
    </row>
    <row r="165" spans="3:5" x14ac:dyDescent="0.35">
      <c r="C165" s="86">
        <v>3.703703703703717</v>
      </c>
      <c r="D165" s="87">
        <v>0.27</v>
      </c>
      <c r="E165" s="3"/>
    </row>
    <row r="166" spans="3:5" x14ac:dyDescent="0.35">
      <c r="C166" s="86">
        <v>3.8461538461538609</v>
      </c>
      <c r="D166" s="87">
        <v>0.26</v>
      </c>
      <c r="E166" s="3"/>
    </row>
    <row r="167" spans="3:5" x14ac:dyDescent="0.35">
      <c r="C167" s="86">
        <v>4.000000000000016</v>
      </c>
      <c r="D167" s="87">
        <v>0.25</v>
      </c>
      <c r="E167" s="3"/>
    </row>
    <row r="168" spans="3:5" x14ac:dyDescent="0.35">
      <c r="C168" s="86">
        <v>4.1666666666666838</v>
      </c>
      <c r="D168" s="87">
        <v>0.24</v>
      </c>
      <c r="E168" s="3"/>
    </row>
    <row r="169" spans="3:5" x14ac:dyDescent="0.35">
      <c r="C169" s="86">
        <v>4.3478260869565402</v>
      </c>
      <c r="D169" s="87">
        <v>0.23</v>
      </c>
      <c r="E169" s="3"/>
    </row>
    <row r="170" spans="3:5" x14ac:dyDescent="0.35">
      <c r="C170" s="86">
        <v>4.5454545454545663</v>
      </c>
      <c r="D170" s="87">
        <v>0.22</v>
      </c>
      <c r="E170" s="3"/>
    </row>
    <row r="171" spans="3:5" x14ac:dyDescent="0.35">
      <c r="C171" s="86">
        <v>4.761904761904785</v>
      </c>
      <c r="D171" s="87">
        <v>0.21</v>
      </c>
      <c r="E171" s="3"/>
    </row>
    <row r="172" spans="3:5" x14ac:dyDescent="0.35">
      <c r="C172" s="86">
        <v>5.0000000000000249</v>
      </c>
      <c r="D172" s="87">
        <v>0.2</v>
      </c>
      <c r="E172" s="3"/>
    </row>
    <row r="173" spans="3:5" x14ac:dyDescent="0.35">
      <c r="C173" s="86">
        <v>5.26315789473687</v>
      </c>
      <c r="D173" s="87">
        <v>0.19</v>
      </c>
      <c r="E173" s="3"/>
    </row>
    <row r="174" spans="3:5" x14ac:dyDescent="0.35">
      <c r="C174" s="86">
        <v>5.5555555555555864</v>
      </c>
      <c r="D174" s="87">
        <v>0.18</v>
      </c>
      <c r="E174" s="3"/>
    </row>
    <row r="175" spans="3:5" x14ac:dyDescent="0.35">
      <c r="C175" s="86">
        <v>5.8823529411765048</v>
      </c>
      <c r="D175" s="87">
        <v>0.17</v>
      </c>
      <c r="E175" s="3"/>
    </row>
    <row r="176" spans="3:5" x14ac:dyDescent="0.35">
      <c r="C176" s="86">
        <v>6.2500000000000391</v>
      </c>
      <c r="D176" s="87">
        <v>0.16</v>
      </c>
      <c r="E176" s="3"/>
    </row>
    <row r="177" spans="3:5" x14ac:dyDescent="0.35">
      <c r="C177" s="86">
        <v>6.6666666666667114</v>
      </c>
      <c r="D177" s="87">
        <v>0.15</v>
      </c>
      <c r="E177" s="3"/>
    </row>
    <row r="178" spans="3:5" x14ac:dyDescent="0.35">
      <c r="C178" s="86">
        <v>7.1428571428571948</v>
      </c>
      <c r="D178" s="87">
        <v>0.14000000000000001</v>
      </c>
      <c r="E178" s="3"/>
    </row>
    <row r="179" spans="3:5" x14ac:dyDescent="0.35">
      <c r="C179" s="86">
        <v>7.6923076923077511</v>
      </c>
      <c r="D179" s="87">
        <v>0.13</v>
      </c>
      <c r="E179" s="3"/>
    </row>
    <row r="180" spans="3:5" x14ac:dyDescent="0.35">
      <c r="C180" s="86">
        <v>8.3333333333334032</v>
      </c>
      <c r="D180" s="87">
        <v>0.12</v>
      </c>
      <c r="E180" s="3"/>
    </row>
    <row r="181" spans="3:5" x14ac:dyDescent="0.35">
      <c r="C181" s="86">
        <v>9.0909090909091734</v>
      </c>
      <c r="D181" s="87">
        <v>0.11</v>
      </c>
      <c r="E181" s="3"/>
    </row>
    <row r="182" spans="3:5" x14ac:dyDescent="0.35">
      <c r="C182" s="86">
        <v>10.000000000000099</v>
      </c>
      <c r="D182" s="87">
        <v>0.1</v>
      </c>
      <c r="E182" s="3"/>
    </row>
    <row r="183" spans="3:5" x14ac:dyDescent="0.35">
      <c r="C183" s="86">
        <v>11.111111111111235</v>
      </c>
      <c r="D183" s="87">
        <v>0.09</v>
      </c>
      <c r="E183" s="3"/>
    </row>
    <row r="184" spans="3:5" x14ac:dyDescent="0.35">
      <c r="C184" s="86">
        <v>12.500000000000156</v>
      </c>
      <c r="D184" s="87">
        <v>0.08</v>
      </c>
      <c r="E184" s="3"/>
    </row>
    <row r="185" spans="3:5" x14ac:dyDescent="0.35">
      <c r="C185" s="86">
        <v>14.285714285714491</v>
      </c>
      <c r="D185" s="87">
        <v>7.0000000000000007E-2</v>
      </c>
      <c r="E185" s="3"/>
    </row>
    <row r="186" spans="3:5" x14ac:dyDescent="0.35">
      <c r="C186" s="86">
        <v>16.666666666666917</v>
      </c>
      <c r="D186" s="87">
        <v>0.06</v>
      </c>
      <c r="E186" s="3"/>
    </row>
    <row r="187" spans="3:5" x14ac:dyDescent="0.35">
      <c r="C187" s="86">
        <v>20.000000000000401</v>
      </c>
      <c r="D187" s="87">
        <v>0.05</v>
      </c>
      <c r="E187" s="3"/>
    </row>
    <row r="188" spans="3:5" x14ac:dyDescent="0.35">
      <c r="C188" s="86">
        <v>25.000000000000625</v>
      </c>
      <c r="D188" s="87">
        <v>0.04</v>
      </c>
      <c r="E188" s="3"/>
    </row>
    <row r="189" spans="3:5" x14ac:dyDescent="0.35">
      <c r="C189" s="86">
        <v>33.333333333334444</v>
      </c>
      <c r="D189" s="87">
        <v>0.03</v>
      </c>
      <c r="E189" s="3"/>
    </row>
    <row r="190" spans="3:5" x14ac:dyDescent="0.35">
      <c r="C190" s="86">
        <v>50.000000000002494</v>
      </c>
      <c r="D190" s="87">
        <v>0.02</v>
      </c>
      <c r="E190" s="3"/>
    </row>
    <row r="191" spans="3:5" x14ac:dyDescent="0.35">
      <c r="C191" s="86">
        <v>100.0000000000099</v>
      </c>
      <c r="D191" s="87">
        <v>0.01</v>
      </c>
      <c r="E191" s="3"/>
    </row>
    <row r="194" spans="3:4" x14ac:dyDescent="0.35">
      <c r="C194" s="2" t="s">
        <v>33</v>
      </c>
    </row>
    <row r="195" spans="3:4" x14ac:dyDescent="0.35">
      <c r="C195" s="2" t="s">
        <v>34</v>
      </c>
    </row>
    <row r="196" spans="3:4" x14ac:dyDescent="0.35">
      <c r="C196" s="2" t="s">
        <v>35</v>
      </c>
    </row>
    <row r="197" spans="3:4" x14ac:dyDescent="0.35">
      <c r="C197" s="2" t="s">
        <v>36</v>
      </c>
    </row>
    <row r="199" spans="3:4" x14ac:dyDescent="0.35">
      <c r="C199" s="2" t="s">
        <v>37</v>
      </c>
    </row>
    <row r="200" spans="3:4" x14ac:dyDescent="0.35">
      <c r="C200" s="2" t="s">
        <v>38</v>
      </c>
    </row>
    <row r="201" spans="3:4" x14ac:dyDescent="0.35">
      <c r="C201" s="2" t="s">
        <v>39</v>
      </c>
    </row>
    <row r="203" spans="3:4" ht="28" hidden="1" x14ac:dyDescent="0.35">
      <c r="C203" s="2" t="s">
        <v>40</v>
      </c>
    </row>
    <row r="204" spans="3:4" hidden="1" x14ac:dyDescent="0.2">
      <c r="C204" s="17">
        <v>0.90909090909090906</v>
      </c>
      <c r="D204" s="2" t="s">
        <v>41</v>
      </c>
    </row>
    <row r="205" spans="3:4" hidden="1" x14ac:dyDescent="0.35">
      <c r="C205" s="202">
        <v>9.0909090909090912E-2</v>
      </c>
      <c r="D205" s="2" t="s">
        <v>42</v>
      </c>
    </row>
    <row r="208" spans="3:4" x14ac:dyDescent="0.2">
      <c r="C208" s="17"/>
      <c r="D208" s="202"/>
    </row>
  </sheetData>
  <sheetProtection formatCells="0" formatColumns="0" formatRows="0" insertColumns="0" insertRows="0" insertHyperlinks="0" deleteColumns="0" deleteRows="0" selectLockedCells="1" sort="0" autoFilter="0" pivotTables="0"/>
  <mergeCells count="16">
    <mergeCell ref="B2:K2"/>
    <mergeCell ref="C3:D3"/>
    <mergeCell ref="B4:C4"/>
    <mergeCell ref="B5:K5"/>
    <mergeCell ref="C7:K7"/>
    <mergeCell ref="C8:K8"/>
    <mergeCell ref="C9:K9"/>
    <mergeCell ref="C16:K16"/>
    <mergeCell ref="B77:B78"/>
    <mergeCell ref="B17:C17"/>
    <mergeCell ref="C18:K18"/>
    <mergeCell ref="B19:C19"/>
    <mergeCell ref="B20:C20"/>
    <mergeCell ref="B22:K22"/>
    <mergeCell ref="D24:K24"/>
    <mergeCell ref="D11:K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DB610-9C13-4B6F-BBE3-D3AA3DA0D8C6}">
  <dimension ref="A1:A13"/>
  <sheetViews>
    <sheetView zoomScale="145" zoomScaleNormal="145" workbookViewId="0">
      <selection activeCell="A14" sqref="A14"/>
    </sheetView>
  </sheetViews>
  <sheetFormatPr defaultRowHeight="14.5" x14ac:dyDescent="0.35"/>
  <cols>
    <col min="1" max="1" width="152.453125" customWidth="1"/>
  </cols>
  <sheetData>
    <row r="1" spans="1:1" ht="28" x14ac:dyDescent="0.35">
      <c r="A1" s="209" t="s">
        <v>43</v>
      </c>
    </row>
    <row r="2" spans="1:1" x14ac:dyDescent="0.35">
      <c r="A2" s="209"/>
    </row>
    <row r="3" spans="1:1" ht="42" x14ac:dyDescent="0.35">
      <c r="A3" s="209" t="s">
        <v>44</v>
      </c>
    </row>
    <row r="4" spans="1:1" x14ac:dyDescent="0.35">
      <c r="A4" s="210"/>
    </row>
    <row r="5" spans="1:1" ht="28" x14ac:dyDescent="0.35">
      <c r="A5" s="209" t="s">
        <v>45</v>
      </c>
    </row>
    <row r="6" spans="1:1" x14ac:dyDescent="0.35">
      <c r="A6" s="209"/>
    </row>
    <row r="7" spans="1:1" ht="28" x14ac:dyDescent="0.35">
      <c r="A7" s="209" t="s">
        <v>46</v>
      </c>
    </row>
    <row r="8" spans="1:1" x14ac:dyDescent="0.35">
      <c r="A8" s="209"/>
    </row>
    <row r="9" spans="1:1" x14ac:dyDescent="0.35">
      <c r="A9" s="210" t="s">
        <v>47</v>
      </c>
    </row>
    <row r="10" spans="1:1" ht="43.5" x14ac:dyDescent="0.35">
      <c r="A10" s="211" t="s">
        <v>48</v>
      </c>
    </row>
    <row r="11" spans="1:1" ht="43.5" x14ac:dyDescent="0.35">
      <c r="A11" s="211" t="s">
        <v>49</v>
      </c>
    </row>
    <row r="12" spans="1:1" x14ac:dyDescent="0.35">
      <c r="A12" s="209"/>
    </row>
    <row r="13" spans="1:1" x14ac:dyDescent="0.35">
      <c r="A13" s="212"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BFFFE-74DE-499A-B9B3-5A062F9E6940}">
  <sheetPr>
    <tabColor rgb="FF96330F"/>
    <pageSetUpPr fitToPage="1"/>
  </sheetPr>
  <dimension ref="A1:L31"/>
  <sheetViews>
    <sheetView tabSelected="1" topLeftCell="A13" zoomScaleNormal="100" workbookViewId="0">
      <selection activeCell="F14" sqref="F14"/>
    </sheetView>
  </sheetViews>
  <sheetFormatPr defaultColWidth="9.26953125" defaultRowHeight="10.5" x14ac:dyDescent="0.25"/>
  <cols>
    <col min="1" max="1" width="3.26953125" style="19" bestFit="1" customWidth="1"/>
    <col min="2" max="3" width="38.7265625" style="18" customWidth="1"/>
    <col min="4" max="5" width="23.26953125" style="18" customWidth="1"/>
    <col min="6" max="6" width="22.26953125" style="18" customWidth="1"/>
    <col min="7" max="7" width="7.26953125" style="17" customWidth="1"/>
    <col min="8" max="8" width="23.7265625" style="16" customWidth="1"/>
    <col min="9" max="9" width="7.26953125" style="15" customWidth="1"/>
    <col min="10" max="10" width="5.453125" style="13" customWidth="1"/>
    <col min="11" max="11" width="24.453125" style="14" customWidth="1"/>
    <col min="12" max="12" width="50.54296875" style="13" customWidth="1"/>
    <col min="13" max="16384" width="9.26953125" style="13"/>
  </cols>
  <sheetData>
    <row r="1" spans="1:12" ht="14.65" customHeight="1" x14ac:dyDescent="0.35">
      <c r="B1" s="46"/>
      <c r="C1" s="46"/>
      <c r="D1" s="46"/>
      <c r="E1" s="46"/>
      <c r="F1" s="46"/>
      <c r="G1" s="46"/>
      <c r="H1" s="46"/>
      <c r="I1" s="46"/>
      <c r="J1" s="46"/>
      <c r="K1" s="46"/>
    </row>
    <row r="2" spans="1:12" ht="14.65" customHeight="1" x14ac:dyDescent="0.35">
      <c r="B2" s="11" t="s">
        <v>51</v>
      </c>
      <c r="C2" s="48" t="s">
        <v>52</v>
      </c>
      <c r="D2" s="46"/>
      <c r="E2" s="390" t="s">
        <v>53</v>
      </c>
      <c r="F2" s="390"/>
      <c r="G2" s="390"/>
      <c r="H2" s="46"/>
      <c r="I2" s="46"/>
      <c r="J2" s="46"/>
      <c r="K2" s="46"/>
    </row>
    <row r="3" spans="1:12" ht="30.65" customHeight="1" x14ac:dyDescent="0.35">
      <c r="B3" s="11" t="s">
        <v>54</v>
      </c>
      <c r="C3" s="344" t="s">
        <v>1305</v>
      </c>
      <c r="D3" s="46"/>
      <c r="E3" s="390"/>
      <c r="F3" s="390"/>
      <c r="G3" s="390"/>
      <c r="H3" s="46"/>
      <c r="I3" s="46"/>
      <c r="J3" s="46"/>
      <c r="K3" s="46"/>
    </row>
    <row r="4" spans="1:12" ht="14.65" customHeight="1" x14ac:dyDescent="0.35">
      <c r="B4" s="11" t="s">
        <v>55</v>
      </c>
      <c r="C4" s="345">
        <v>0.7</v>
      </c>
      <c r="D4" s="46"/>
      <c r="E4" s="390"/>
      <c r="F4" s="390"/>
      <c r="G4" s="390"/>
      <c r="H4" s="46"/>
      <c r="I4" s="46"/>
      <c r="J4" s="46"/>
      <c r="K4" s="46"/>
    </row>
    <row r="5" spans="1:12" ht="14.65" customHeight="1" x14ac:dyDescent="0.35">
      <c r="B5" s="11" t="s">
        <v>56</v>
      </c>
      <c r="C5" s="47" t="s">
        <v>57</v>
      </c>
      <c r="D5" s="46"/>
      <c r="E5" s="46"/>
      <c r="F5" s="46"/>
      <c r="G5" s="46"/>
      <c r="H5" s="46"/>
      <c r="I5" s="46"/>
      <c r="J5" s="46"/>
      <c r="K5" s="46"/>
    </row>
    <row r="6" spans="1:12" ht="14.65" customHeight="1" x14ac:dyDescent="0.35">
      <c r="B6" s="11" t="s">
        <v>58</v>
      </c>
      <c r="C6" s="47" t="s">
        <v>57</v>
      </c>
      <c r="D6" s="46"/>
      <c r="E6" s="46"/>
      <c r="F6" s="46"/>
      <c r="G6" s="46"/>
      <c r="H6" s="46"/>
      <c r="I6" s="46"/>
      <c r="J6" s="46"/>
      <c r="K6" s="46"/>
    </row>
    <row r="7" spans="1:12" ht="14.65" customHeight="1" x14ac:dyDescent="0.35">
      <c r="B7" s="11" t="s">
        <v>59</v>
      </c>
      <c r="C7" s="47" t="s">
        <v>57</v>
      </c>
      <c r="D7" s="46"/>
      <c r="E7" s="46"/>
      <c r="F7" s="46"/>
      <c r="G7" s="46"/>
      <c r="H7" s="46"/>
      <c r="I7" s="46"/>
      <c r="J7" s="46"/>
      <c r="K7" s="46"/>
    </row>
    <row r="8" spans="1:12" ht="32.65" customHeight="1" x14ac:dyDescent="0.35">
      <c r="B8" s="11" t="s">
        <v>60</v>
      </c>
      <c r="C8" s="47"/>
      <c r="D8" s="46"/>
      <c r="E8" s="46"/>
      <c r="F8" s="46"/>
      <c r="G8" s="46"/>
      <c r="H8" s="46"/>
      <c r="I8" s="46"/>
      <c r="J8" s="46"/>
      <c r="K8" s="46"/>
    </row>
    <row r="9" spans="1:12" ht="12" customHeight="1" thickBot="1" x14ac:dyDescent="0.3"/>
    <row r="10" spans="1:12" s="14" customFormat="1" ht="44.65" customHeight="1" thickBot="1" x14ac:dyDescent="0.3">
      <c r="A10" s="391" t="s">
        <v>61</v>
      </c>
      <c r="B10" s="392"/>
      <c r="C10" s="45" t="s">
        <v>62</v>
      </c>
      <c r="D10" s="44" t="s">
        <v>63</v>
      </c>
      <c r="E10" s="43" t="s">
        <v>64</v>
      </c>
      <c r="F10" s="42" t="s">
        <v>65</v>
      </c>
      <c r="G10" s="41" t="s">
        <v>66</v>
      </c>
      <c r="H10" s="393" t="s">
        <v>67</v>
      </c>
      <c r="I10" s="394"/>
      <c r="J10" s="395"/>
      <c r="K10" s="40" t="s">
        <v>68</v>
      </c>
    </row>
    <row r="11" spans="1:12" s="14" customFormat="1" ht="62.25" customHeight="1" x14ac:dyDescent="0.25">
      <c r="A11" s="218">
        <v>1</v>
      </c>
      <c r="B11" s="236" t="s">
        <v>69</v>
      </c>
      <c r="C11" s="237" t="s">
        <v>70</v>
      </c>
      <c r="D11" s="39"/>
      <c r="E11" s="38"/>
      <c r="F11" s="37"/>
      <c r="G11" s="36"/>
      <c r="H11" s="396"/>
      <c r="I11" s="397"/>
      <c r="J11" s="398"/>
      <c r="K11" s="35"/>
    </row>
    <row r="12" spans="1:12" s="14" customFormat="1" ht="42.65" customHeight="1" thickBot="1" x14ac:dyDescent="0.3">
      <c r="A12" s="219">
        <v>2</v>
      </c>
      <c r="B12" s="215"/>
      <c r="C12" s="216"/>
      <c r="D12" s="34"/>
      <c r="E12" s="33"/>
      <c r="F12" s="32"/>
      <c r="G12" s="78"/>
      <c r="H12" s="399"/>
      <c r="I12" s="399"/>
      <c r="J12" s="399"/>
      <c r="K12" s="31"/>
    </row>
    <row r="13" spans="1:12" x14ac:dyDescent="0.25">
      <c r="G13" s="79"/>
    </row>
    <row r="14" spans="1:12" ht="13" x14ac:dyDescent="0.3">
      <c r="B14" s="374" t="s">
        <v>1313</v>
      </c>
      <c r="C14" s="375"/>
      <c r="D14" s="375"/>
      <c r="E14" s="375"/>
      <c r="F14" s="30"/>
    </row>
    <row r="15" spans="1:12" ht="11" thickBot="1" x14ac:dyDescent="0.3">
      <c r="B15" s="30"/>
      <c r="C15" s="30"/>
      <c r="D15" s="30"/>
      <c r="E15" s="30"/>
      <c r="F15" s="30"/>
    </row>
    <row r="16" spans="1:12" ht="16" thickBot="1" x14ac:dyDescent="0.3">
      <c r="C16" s="387" t="s">
        <v>71</v>
      </c>
      <c r="D16" s="388"/>
      <c r="E16" s="388"/>
      <c r="F16" s="389"/>
      <c r="H16" s="400" t="s">
        <v>1314</v>
      </c>
      <c r="I16" s="400"/>
      <c r="J16" s="400"/>
      <c r="K16" s="400"/>
      <c r="L16" s="14"/>
    </row>
    <row r="17" spans="3:12" ht="16" thickBot="1" x14ac:dyDescent="0.3">
      <c r="C17" s="29" t="s">
        <v>72</v>
      </c>
      <c r="D17" s="28" t="s">
        <v>73</v>
      </c>
      <c r="E17" s="27" t="s">
        <v>74</v>
      </c>
      <c r="F17" s="27" t="s">
        <v>75</v>
      </c>
      <c r="H17" s="400"/>
      <c r="I17" s="400"/>
      <c r="J17" s="400"/>
      <c r="K17" s="400"/>
      <c r="L17" s="14"/>
    </row>
    <row r="18" spans="3:12" ht="15.5" x14ac:dyDescent="0.25">
      <c r="C18" s="26" t="s">
        <v>5</v>
      </c>
      <c r="D18" s="238">
        <v>0.15</v>
      </c>
      <c r="E18" s="25"/>
      <c r="F18" s="292">
        <f>'Key Requirements'!L43</f>
        <v>0</v>
      </c>
      <c r="H18" s="400"/>
      <c r="I18" s="400"/>
      <c r="J18" s="400"/>
      <c r="K18" s="400"/>
      <c r="L18" s="14"/>
    </row>
    <row r="19" spans="3:12" ht="15.5" x14ac:dyDescent="0.2">
      <c r="C19" s="24" t="s">
        <v>76</v>
      </c>
      <c r="D19" s="239">
        <v>0.2</v>
      </c>
      <c r="E19" s="23"/>
      <c r="F19" s="293">
        <f>'Functional - VW'!M78</f>
        <v>0</v>
      </c>
      <c r="H19" s="400"/>
      <c r="I19" s="400"/>
      <c r="J19" s="400"/>
      <c r="K19" s="400"/>
    </row>
    <row r="20" spans="3:12" ht="17.25" customHeight="1" x14ac:dyDescent="0.2">
      <c r="C20" s="24" t="s">
        <v>77</v>
      </c>
      <c r="D20" s="239">
        <v>0.2</v>
      </c>
      <c r="E20" s="23"/>
      <c r="F20" s="293">
        <f>'Functional - CET'!O58</f>
        <v>0</v>
      </c>
      <c r="H20" s="400"/>
      <c r="I20" s="400"/>
      <c r="J20" s="400"/>
      <c r="K20" s="400"/>
    </row>
    <row r="21" spans="3:12" ht="15.5" x14ac:dyDescent="0.2">
      <c r="C21" s="24" t="s">
        <v>8</v>
      </c>
      <c r="D21" s="239">
        <v>0.1</v>
      </c>
      <c r="E21" s="23"/>
      <c r="F21" s="293">
        <f>'Non-Functional'!M83</f>
        <v>0</v>
      </c>
      <c r="H21" s="400"/>
      <c r="I21" s="400"/>
      <c r="J21" s="400"/>
      <c r="K21" s="400"/>
    </row>
    <row r="22" spans="3:12" ht="15.5" x14ac:dyDescent="0.2">
      <c r="C22" s="24" t="s">
        <v>9</v>
      </c>
      <c r="D22" s="239">
        <v>0.1</v>
      </c>
      <c r="E22" s="23"/>
      <c r="F22" s="293">
        <f>Security!L54</f>
        <v>0</v>
      </c>
      <c r="H22" s="400"/>
      <c r="I22" s="400"/>
      <c r="J22" s="400"/>
      <c r="K22" s="400"/>
    </row>
    <row r="23" spans="3:12" ht="15.5" x14ac:dyDescent="0.25">
      <c r="C23" s="204" t="s">
        <v>10</v>
      </c>
      <c r="D23" s="240">
        <v>0.1</v>
      </c>
      <c r="E23" s="205"/>
      <c r="F23" s="293">
        <f>Architecture!L51</f>
        <v>0</v>
      </c>
      <c r="H23" s="400"/>
      <c r="I23" s="400"/>
      <c r="J23" s="400"/>
      <c r="K23" s="400"/>
      <c r="L23" s="14"/>
    </row>
    <row r="24" spans="3:12" ht="15.5" x14ac:dyDescent="0.25">
      <c r="C24" s="204" t="s">
        <v>11</v>
      </c>
      <c r="D24" s="240">
        <v>0.1</v>
      </c>
      <c r="E24" s="205"/>
      <c r="F24" s="293">
        <f>Cloud!M89</f>
        <v>0</v>
      </c>
      <c r="H24" s="400"/>
      <c r="I24" s="400"/>
      <c r="J24" s="400"/>
      <c r="K24" s="400"/>
      <c r="L24" s="14"/>
    </row>
    <row r="25" spans="3:12" ht="15.5" x14ac:dyDescent="0.25">
      <c r="C25" s="204" t="s">
        <v>6</v>
      </c>
      <c r="D25" s="240">
        <v>0.05</v>
      </c>
      <c r="E25" s="205"/>
      <c r="F25" s="293">
        <f>'Project Management'!L23</f>
        <v>0</v>
      </c>
      <c r="H25" s="400"/>
      <c r="I25" s="400"/>
      <c r="J25" s="400"/>
      <c r="K25" s="400"/>
      <c r="L25" s="14"/>
    </row>
    <row r="26" spans="3:12" ht="16" thickBot="1" x14ac:dyDescent="0.3">
      <c r="C26" s="22" t="s">
        <v>78</v>
      </c>
      <c r="D26" s="241">
        <f>SUM(D18:D25)</f>
        <v>1</v>
      </c>
      <c r="E26" s="242">
        <v>0.7</v>
      </c>
      <c r="F26" s="294">
        <f>SUM(F18:F25)</f>
        <v>0</v>
      </c>
      <c r="H26" s="400"/>
      <c r="I26" s="400"/>
      <c r="J26" s="400"/>
      <c r="K26" s="400"/>
      <c r="L26" s="14"/>
    </row>
    <row r="27" spans="3:12" ht="11" thickBot="1" x14ac:dyDescent="0.3">
      <c r="C27" s="21"/>
      <c r="F27" s="20"/>
      <c r="H27" s="17"/>
      <c r="I27" s="16"/>
      <c r="J27" s="15"/>
      <c r="K27" s="13"/>
      <c r="L27" s="14"/>
    </row>
    <row r="28" spans="3:12" ht="16.149999999999999" customHeight="1" thickBot="1" x14ac:dyDescent="0.3">
      <c r="C28" s="387" t="s">
        <v>79</v>
      </c>
      <c r="D28" s="388"/>
      <c r="E28" s="388"/>
      <c r="F28" s="389"/>
      <c r="H28" s="400" t="s">
        <v>1315</v>
      </c>
      <c r="I28" s="400"/>
      <c r="J28" s="400"/>
      <c r="K28" s="400"/>
      <c r="L28" s="14"/>
    </row>
    <row r="29" spans="3:12" ht="16" thickBot="1" x14ac:dyDescent="0.3">
      <c r="C29" s="172" t="s">
        <v>80</v>
      </c>
      <c r="D29" s="173" t="s">
        <v>73</v>
      </c>
      <c r="E29" s="174" t="s">
        <v>74</v>
      </c>
      <c r="F29" s="174" t="s">
        <v>75</v>
      </c>
      <c r="H29" s="400"/>
      <c r="I29" s="400"/>
      <c r="J29" s="400"/>
      <c r="K29" s="400"/>
      <c r="L29" s="14"/>
    </row>
    <row r="30" spans="3:12" ht="15.5" x14ac:dyDescent="0.35">
      <c r="C30" s="175" t="s">
        <v>81</v>
      </c>
      <c r="D30" s="243">
        <v>1</v>
      </c>
      <c r="E30" s="243">
        <v>0.6</v>
      </c>
      <c r="F30" s="311">
        <f>'Demo - VW'!J47</f>
        <v>0</v>
      </c>
      <c r="H30" s="400"/>
      <c r="I30" s="400"/>
      <c r="J30" s="400"/>
      <c r="K30" s="400"/>
      <c r="L30" s="14"/>
    </row>
    <row r="31" spans="3:12" ht="16" thickBot="1" x14ac:dyDescent="0.4">
      <c r="C31" s="176" t="s">
        <v>82</v>
      </c>
      <c r="D31" s="244">
        <v>1</v>
      </c>
      <c r="E31" s="244">
        <v>0.6</v>
      </c>
      <c r="F31" s="312">
        <f>'Demo - CET'!K50</f>
        <v>0</v>
      </c>
      <c r="H31" s="400"/>
      <c r="I31" s="400"/>
      <c r="J31" s="400"/>
      <c r="K31" s="400"/>
      <c r="L31" s="14"/>
    </row>
  </sheetData>
  <mergeCells count="9">
    <mergeCell ref="C28:F28"/>
    <mergeCell ref="C16:F16"/>
    <mergeCell ref="E2:G4"/>
    <mergeCell ref="A10:B10"/>
    <mergeCell ref="H10:J10"/>
    <mergeCell ref="H11:J11"/>
    <mergeCell ref="H12:J12"/>
    <mergeCell ref="H28:K31"/>
    <mergeCell ref="H16:K26"/>
  </mergeCells>
  <conditionalFormatting sqref="F26">
    <cfRule type="expression" dxfId="3" priority="1">
      <formula>$E$26&lt;$C$4</formula>
    </cfRule>
    <cfRule type="expression" dxfId="2" priority="2">
      <formula>$E$26&gt;$C$4</formula>
    </cfRule>
    <cfRule type="expression" dxfId="1" priority="3">
      <formula>$E$26=$C$4</formula>
    </cfRule>
  </conditionalFormatting>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57D93F6B-C37D-4881-9191-445CDA34B2CD}">
          <x14:formula1>
            <xm:f>'Response Guidlines'!$C$73:$C$74</xm:f>
          </x14:formula1>
          <xm:sqref>G11:G12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ED472-0F3A-475A-BCA7-40A0C358344D}">
  <sheetPr>
    <tabColor rgb="FF598787"/>
    <pageSetUpPr fitToPage="1"/>
  </sheetPr>
  <dimension ref="A1:O43"/>
  <sheetViews>
    <sheetView zoomScale="115" zoomScaleNormal="115" workbookViewId="0">
      <selection activeCell="B20" sqref="B20:B23"/>
    </sheetView>
  </sheetViews>
  <sheetFormatPr defaultColWidth="9.26953125" defaultRowHeight="10.5" x14ac:dyDescent="0.25"/>
  <cols>
    <col min="1" max="1" width="3" style="19" bestFit="1" customWidth="1"/>
    <col min="2" max="2" width="31.26953125" style="18" customWidth="1"/>
    <col min="3" max="3" width="36.26953125" style="18" customWidth="1"/>
    <col min="4" max="4" width="15.7265625" style="18" bestFit="1" customWidth="1"/>
    <col min="5" max="5" width="25.453125" style="18" customWidth="1"/>
    <col min="6" max="6" width="21.7265625" style="18" bestFit="1" customWidth="1"/>
    <col min="7" max="7" width="10.26953125" style="18" bestFit="1" customWidth="1"/>
    <col min="8" max="8" width="5.7265625" style="18" bestFit="1" customWidth="1"/>
    <col min="9" max="9" width="4.7265625" style="17" bestFit="1" customWidth="1"/>
    <col min="10" max="10" width="22.7265625" style="16" customWidth="1"/>
    <col min="11" max="11" width="8.26953125" style="15" customWidth="1"/>
    <col min="12" max="12" width="6.26953125" style="13" bestFit="1" customWidth="1"/>
    <col min="13" max="13" width="29.453125" style="14" customWidth="1"/>
    <col min="14" max="14" width="8.54296875" style="13" customWidth="1"/>
    <col min="15" max="15" width="24.26953125" style="13" bestFit="1" customWidth="1"/>
    <col min="16" max="16384" width="9.26953125" style="13"/>
  </cols>
  <sheetData>
    <row r="1" spans="1:13" x14ac:dyDescent="0.25">
      <c r="B1" s="76"/>
      <c r="C1" s="76"/>
      <c r="D1" s="76"/>
      <c r="E1" s="76"/>
      <c r="F1" s="76"/>
      <c r="G1" s="76"/>
      <c r="H1" s="76"/>
    </row>
    <row r="2" spans="1:13" ht="15.5" x14ac:dyDescent="0.35">
      <c r="B2" s="11" t="s">
        <v>51</v>
      </c>
      <c r="C2" s="12" t="str">
        <f>'Scoring Summary'!C2</f>
        <v>&lt;insert before tender publication&gt;</v>
      </c>
      <c r="D2" s="46"/>
      <c r="E2" s="390" t="s">
        <v>83</v>
      </c>
      <c r="F2" s="390"/>
      <c r="G2" s="390"/>
      <c r="H2" s="46"/>
      <c r="I2" s="46"/>
      <c r="J2" s="46"/>
      <c r="K2" s="46"/>
      <c r="L2" s="46"/>
      <c r="M2" s="46"/>
    </row>
    <row r="3" spans="1:13" ht="28" x14ac:dyDescent="0.35">
      <c r="B3" s="11" t="s">
        <v>54</v>
      </c>
      <c r="C3" s="116" t="str">
        <f>'Scoring Summary'!C3</f>
        <v>IT00641 Dx Commercial Energy Trader (Dx CET)</v>
      </c>
      <c r="D3" s="46"/>
      <c r="E3" s="390"/>
      <c r="F3" s="390"/>
      <c r="G3" s="390"/>
      <c r="H3" s="46"/>
      <c r="I3" s="46"/>
      <c r="J3" s="46"/>
      <c r="K3" s="46"/>
      <c r="L3" s="46"/>
      <c r="M3" s="46"/>
    </row>
    <row r="4" spans="1:13" ht="15.5" x14ac:dyDescent="0.35">
      <c r="B4" s="11" t="s">
        <v>55</v>
      </c>
      <c r="C4" s="346">
        <f>'Scoring Summary'!C4</f>
        <v>0.7</v>
      </c>
      <c r="D4" s="46"/>
      <c r="E4" s="390"/>
      <c r="F4" s="390"/>
      <c r="G4" s="390"/>
      <c r="H4" s="46"/>
      <c r="I4" s="46"/>
      <c r="J4" s="46"/>
      <c r="K4" s="46"/>
      <c r="L4" s="46"/>
      <c r="M4" s="46"/>
    </row>
    <row r="5" spans="1:13" ht="15.5" x14ac:dyDescent="0.35">
      <c r="B5" s="11" t="s">
        <v>84</v>
      </c>
      <c r="C5" s="12" t="str">
        <f>'Scoring Summary'!C5</f>
        <v>&lt;Evaluator to complete&gt;</v>
      </c>
      <c r="D5" s="46"/>
      <c r="E5" s="75"/>
      <c r="F5" s="75"/>
      <c r="G5" s="75"/>
      <c r="H5" s="46"/>
      <c r="I5" s="46"/>
      <c r="J5" s="46"/>
      <c r="K5" s="46"/>
      <c r="L5" s="46"/>
      <c r="M5" s="46"/>
    </row>
    <row r="6" spans="1:13" ht="15.5" x14ac:dyDescent="0.35">
      <c r="B6" s="11" t="s">
        <v>58</v>
      </c>
      <c r="C6" s="12" t="str">
        <f>'Scoring Summary'!C6</f>
        <v>&lt;Evaluator to complete&gt;</v>
      </c>
      <c r="D6" s="46"/>
      <c r="E6" s="46"/>
      <c r="F6" s="46"/>
      <c r="G6" s="46"/>
      <c r="H6" s="46"/>
      <c r="I6" s="46"/>
      <c r="J6" s="46"/>
      <c r="K6" s="46"/>
      <c r="L6" s="46"/>
      <c r="M6" s="46"/>
    </row>
    <row r="7" spans="1:13" ht="15.5" x14ac:dyDescent="0.35">
      <c r="B7" s="11" t="s">
        <v>59</v>
      </c>
      <c r="C7" s="12" t="str">
        <f>'Scoring Summary'!C7</f>
        <v>&lt;Evaluator to complete&gt;</v>
      </c>
      <c r="D7" s="46"/>
      <c r="E7" s="46"/>
      <c r="F7" s="46"/>
      <c r="G7" s="46"/>
      <c r="H7" s="46"/>
      <c r="I7" s="46"/>
      <c r="J7" s="46"/>
      <c r="K7" s="46"/>
      <c r="L7" s="46"/>
      <c r="M7" s="46"/>
    </row>
    <row r="8" spans="1:13" ht="14" x14ac:dyDescent="0.3">
      <c r="B8" s="11" t="s">
        <v>60</v>
      </c>
      <c r="C8" s="12"/>
      <c r="D8" s="466" t="s">
        <v>1278</v>
      </c>
      <c r="E8" s="467"/>
      <c r="F8" s="468"/>
      <c r="G8" s="318"/>
      <c r="H8" s="318"/>
      <c r="I8" s="318"/>
      <c r="J8" s="318"/>
      <c r="K8" s="318"/>
      <c r="L8" s="318"/>
      <c r="M8" s="318"/>
    </row>
    <row r="9" spans="1:13" ht="13.5" thickBot="1" x14ac:dyDescent="0.35">
      <c r="B9" s="30"/>
      <c r="C9" s="30"/>
      <c r="D9" s="469"/>
      <c r="E9" s="470"/>
      <c r="F9" s="471"/>
      <c r="G9" s="319"/>
      <c r="H9" s="319"/>
      <c r="I9" s="320"/>
      <c r="J9" s="472" t="s">
        <v>1279</v>
      </c>
      <c r="K9" s="472"/>
      <c r="L9" s="472"/>
      <c r="M9" s="472"/>
    </row>
    <row r="10" spans="1:13" ht="15" customHeight="1" x14ac:dyDescent="0.2">
      <c r="A10" s="447" t="s">
        <v>85</v>
      </c>
      <c r="B10" s="449" t="s">
        <v>86</v>
      </c>
      <c r="C10" s="450"/>
      <c r="D10" s="451" t="s">
        <v>87</v>
      </c>
      <c r="E10" s="452"/>
      <c r="F10" s="453"/>
      <c r="G10" s="230"/>
      <c r="H10" s="231"/>
      <c r="I10" s="473" t="s">
        <v>88</v>
      </c>
      <c r="J10" s="474"/>
      <c r="K10" s="474"/>
      <c r="L10" s="474"/>
      <c r="M10" s="475"/>
    </row>
    <row r="11" spans="1:13" s="49" customFormat="1" ht="58.15" customHeight="1" thickBot="1" x14ac:dyDescent="0.4">
      <c r="A11" s="448"/>
      <c r="B11" s="256" t="s">
        <v>89</v>
      </c>
      <c r="C11" s="69" t="s">
        <v>62</v>
      </c>
      <c r="D11" s="228" t="s">
        <v>90</v>
      </c>
      <c r="E11" s="229" t="s">
        <v>64</v>
      </c>
      <c r="F11" s="66" t="s">
        <v>91</v>
      </c>
      <c r="G11" s="150" t="s">
        <v>92</v>
      </c>
      <c r="H11" s="64" t="s">
        <v>93</v>
      </c>
      <c r="I11" s="63" t="s">
        <v>94</v>
      </c>
      <c r="J11" s="62" t="s">
        <v>95</v>
      </c>
      <c r="K11" s="61" t="s">
        <v>96</v>
      </c>
      <c r="L11" s="60" t="s">
        <v>67</v>
      </c>
      <c r="M11" s="59" t="s">
        <v>68</v>
      </c>
    </row>
    <row r="12" spans="1:13" s="49" customFormat="1" ht="20.5" x14ac:dyDescent="0.35">
      <c r="A12" s="460" t="s">
        <v>97</v>
      </c>
      <c r="B12" s="455" t="s">
        <v>1265</v>
      </c>
      <c r="C12" s="456" t="s">
        <v>98</v>
      </c>
      <c r="D12" s="457"/>
      <c r="E12" s="458" t="s">
        <v>99</v>
      </c>
      <c r="F12" s="459"/>
      <c r="G12" s="463" t="s">
        <v>29</v>
      </c>
      <c r="H12" s="464">
        <f>IF(G12='Response Guidlines'!$D$81,'Response Guidlines'!$C$81, IF(G12='Response Guidlines'!$D$82,'Response Guidlines'!$C$82,IF(G12='Response Guidlines'!$D$83,'Response Guidlines'!$C$83,IF(G12='Response Guidlines'!$D$84,'Response Guidlines'!$C$84,IF(G12='Response Guidlines'!$D$85,'Response Guidlines'!$C$85,IF(G12='Response Guidlines'!$D$86,'Response Guidlines'!$C$86,IF(G12='Response Guidlines'!$D$87,'Response Guidlines'!$C$87,"No Rating")))))))</f>
        <v>6</v>
      </c>
      <c r="I12" s="465">
        <f>(H12/$H$43)/_xlfn.XLOOKUP('Scoring Summary'!$D$18,'Response Guidlines'!$D$92:$D$191,'Response Guidlines'!$C$92:$C$191,"",0,1)</f>
        <v>2.1428571428571283E-2</v>
      </c>
      <c r="J12" s="273" t="s">
        <v>100</v>
      </c>
      <c r="K12" s="276">
        <f>I12</f>
        <v>2.1428571428571283E-2</v>
      </c>
      <c r="L12" s="476">
        <v>0</v>
      </c>
      <c r="M12" s="477"/>
    </row>
    <row r="13" spans="1:13" s="49" customFormat="1" ht="20.5" x14ac:dyDescent="0.35">
      <c r="A13" s="439"/>
      <c r="B13" s="407"/>
      <c r="C13" s="409"/>
      <c r="D13" s="442"/>
      <c r="E13" s="444"/>
      <c r="F13" s="427"/>
      <c r="G13" s="430"/>
      <c r="H13" s="433"/>
      <c r="I13" s="401"/>
      <c r="J13" s="54" t="s">
        <v>101</v>
      </c>
      <c r="K13" s="138">
        <f>K12*0.6666</f>
        <v>1.4284285714285617E-2</v>
      </c>
      <c r="L13" s="435"/>
      <c r="M13" s="404"/>
    </row>
    <row r="14" spans="1:13" s="49" customFormat="1" ht="20.5" x14ac:dyDescent="0.35">
      <c r="A14" s="439"/>
      <c r="B14" s="407"/>
      <c r="C14" s="409"/>
      <c r="D14" s="442"/>
      <c r="E14" s="444"/>
      <c r="F14" s="427"/>
      <c r="G14" s="430"/>
      <c r="H14" s="433"/>
      <c r="I14" s="401"/>
      <c r="J14" s="52" t="s">
        <v>102</v>
      </c>
      <c r="K14" s="138">
        <f>K12*0.3333</f>
        <v>7.1421428571428087E-3</v>
      </c>
      <c r="L14" s="436"/>
      <c r="M14" s="424"/>
    </row>
    <row r="15" spans="1:13" s="49" customFormat="1" ht="61.5" customHeight="1" x14ac:dyDescent="0.35">
      <c r="A15" s="440"/>
      <c r="B15" s="407"/>
      <c r="C15" s="409"/>
      <c r="D15" s="443"/>
      <c r="E15" s="445"/>
      <c r="F15" s="428"/>
      <c r="G15" s="431"/>
      <c r="H15" s="434"/>
      <c r="I15" s="401"/>
      <c r="J15" s="52" t="s">
        <v>103</v>
      </c>
      <c r="K15" s="138">
        <v>0</v>
      </c>
      <c r="L15" s="435"/>
      <c r="M15" s="404"/>
    </row>
    <row r="16" spans="1:13" s="49" customFormat="1" ht="31" x14ac:dyDescent="0.35">
      <c r="A16" s="439" t="s">
        <v>104</v>
      </c>
      <c r="B16" s="407" t="s">
        <v>105</v>
      </c>
      <c r="C16" s="409" t="s">
        <v>106</v>
      </c>
      <c r="D16" s="441"/>
      <c r="E16" s="444"/>
      <c r="F16" s="427"/>
      <c r="G16" s="429" t="s">
        <v>29</v>
      </c>
      <c r="H16" s="432">
        <f>IF(G16='Response Guidlines'!$D$81,'Response Guidlines'!$C$81, IF(G16='Response Guidlines'!$D$82,'Response Guidlines'!$C$82,IF(G16='Response Guidlines'!$D$83,'Response Guidlines'!$C$83,IF(G16='Response Guidlines'!$D$84,'Response Guidlines'!$C$84,IF(G16='Response Guidlines'!$D$85,'Response Guidlines'!$C$85,IF(G16='Response Guidlines'!$D$86,'Response Guidlines'!$C$86,IF(G16='Response Guidlines'!$D$87,'Response Guidlines'!$C$87,"No Rating")))))))</f>
        <v>6</v>
      </c>
      <c r="I16" s="420">
        <f>(H16/$H$43)/_xlfn.XLOOKUP('Scoring Summary'!$D$18,'Response Guidlines'!$D$92:$D$191,'Response Guidlines'!$C$92:$C$191,"",0,1)</f>
        <v>2.1428571428571283E-2</v>
      </c>
      <c r="J16" s="52" t="s">
        <v>107</v>
      </c>
      <c r="K16" s="136">
        <f>I16</f>
        <v>2.1428571428571283E-2</v>
      </c>
      <c r="L16" s="435">
        <v>0</v>
      </c>
      <c r="M16" s="438"/>
    </row>
    <row r="17" spans="1:13" s="49" customFormat="1" ht="31" x14ac:dyDescent="0.35">
      <c r="A17" s="439"/>
      <c r="B17" s="407"/>
      <c r="C17" s="409"/>
      <c r="D17" s="442"/>
      <c r="E17" s="444"/>
      <c r="F17" s="427"/>
      <c r="G17" s="430"/>
      <c r="H17" s="433"/>
      <c r="I17" s="401"/>
      <c r="J17" s="54" t="s">
        <v>108</v>
      </c>
      <c r="K17" s="138">
        <f>K16*0.6666</f>
        <v>1.4284285714285617E-2</v>
      </c>
      <c r="L17" s="435"/>
      <c r="M17" s="404"/>
    </row>
    <row r="18" spans="1:13" s="49" customFormat="1" ht="31" x14ac:dyDescent="0.35">
      <c r="A18" s="439"/>
      <c r="B18" s="407"/>
      <c r="C18" s="409"/>
      <c r="D18" s="442"/>
      <c r="E18" s="444"/>
      <c r="F18" s="427"/>
      <c r="G18" s="430"/>
      <c r="H18" s="433"/>
      <c r="I18" s="401"/>
      <c r="J18" s="54" t="s">
        <v>109</v>
      </c>
      <c r="K18" s="138">
        <f>K16*0.3333</f>
        <v>7.1421428571428087E-3</v>
      </c>
      <c r="L18" s="436"/>
      <c r="M18" s="424"/>
    </row>
    <row r="19" spans="1:13" s="49" customFormat="1" ht="57.65" customHeight="1" x14ac:dyDescent="0.35">
      <c r="A19" s="440"/>
      <c r="B19" s="407"/>
      <c r="C19" s="409"/>
      <c r="D19" s="443"/>
      <c r="E19" s="445"/>
      <c r="F19" s="428"/>
      <c r="G19" s="431"/>
      <c r="H19" s="434"/>
      <c r="I19" s="401"/>
      <c r="J19" s="52" t="s">
        <v>110</v>
      </c>
      <c r="K19" s="138">
        <v>0</v>
      </c>
      <c r="L19" s="435"/>
      <c r="M19" s="404"/>
    </row>
    <row r="20" spans="1:13" s="49" customFormat="1" ht="40.5" x14ac:dyDescent="0.35">
      <c r="A20" s="439" t="s">
        <v>111</v>
      </c>
      <c r="B20" s="407" t="s">
        <v>1309</v>
      </c>
      <c r="C20" s="409" t="s">
        <v>112</v>
      </c>
      <c r="D20" s="441"/>
      <c r="E20" s="446"/>
      <c r="F20" s="426"/>
      <c r="G20" s="429" t="s">
        <v>28</v>
      </c>
      <c r="H20" s="432">
        <f>IF(G20='Response Guidlines'!$D$81,'Response Guidlines'!$C$81, IF(G20='Response Guidlines'!$D$82,'Response Guidlines'!$C$82,IF(G20='Response Guidlines'!$D$83,'Response Guidlines'!$C$83,IF(G20='Response Guidlines'!$D$84,'Response Guidlines'!$C$84,IF(G20='Response Guidlines'!$D$85,'Response Guidlines'!$C$85,IF(G20='Response Guidlines'!$D$86,'Response Guidlines'!$C$86,IF(G20='Response Guidlines'!$D$87,'Response Guidlines'!$C$87,"No Rating")))))))</f>
        <v>5</v>
      </c>
      <c r="I20" s="420">
        <f>(H20/$H$43)/_xlfn.XLOOKUP('Scoring Summary'!$D$18,'Response Guidlines'!$D$92:$D$191,'Response Guidlines'!$C$92:$C$191,"",0,1)</f>
        <v>1.7857142857142735E-2</v>
      </c>
      <c r="J20" s="52" t="s">
        <v>113</v>
      </c>
      <c r="K20" s="136">
        <f>I20</f>
        <v>1.7857142857142735E-2</v>
      </c>
      <c r="L20" s="435">
        <v>0</v>
      </c>
      <c r="M20" s="438"/>
    </row>
    <row r="21" spans="1:13" s="49" customFormat="1" ht="30.5" x14ac:dyDescent="0.35">
      <c r="A21" s="439"/>
      <c r="B21" s="407"/>
      <c r="C21" s="409"/>
      <c r="D21" s="442"/>
      <c r="E21" s="444"/>
      <c r="F21" s="427"/>
      <c r="G21" s="430"/>
      <c r="H21" s="433"/>
      <c r="I21" s="401"/>
      <c r="J21" s="54" t="s">
        <v>114</v>
      </c>
      <c r="K21" s="138">
        <f>K20*0.75</f>
        <v>1.339285714285705E-2</v>
      </c>
      <c r="L21" s="435"/>
      <c r="M21" s="404"/>
    </row>
    <row r="22" spans="1:13" s="49" customFormat="1" ht="30.5" x14ac:dyDescent="0.35">
      <c r="A22" s="439"/>
      <c r="B22" s="407"/>
      <c r="C22" s="409"/>
      <c r="D22" s="442"/>
      <c r="E22" s="444"/>
      <c r="F22" s="427"/>
      <c r="G22" s="430"/>
      <c r="H22" s="433"/>
      <c r="I22" s="401"/>
      <c r="J22" s="54" t="s">
        <v>115</v>
      </c>
      <c r="K22" s="138">
        <f>K20*0.5</f>
        <v>8.9285714285713674E-3</v>
      </c>
      <c r="L22" s="436"/>
      <c r="M22" s="424"/>
    </row>
    <row r="23" spans="1:13" s="49" customFormat="1" ht="30.5" x14ac:dyDescent="0.35">
      <c r="A23" s="440"/>
      <c r="B23" s="407"/>
      <c r="C23" s="409"/>
      <c r="D23" s="443"/>
      <c r="E23" s="445"/>
      <c r="F23" s="428"/>
      <c r="G23" s="431"/>
      <c r="H23" s="434"/>
      <c r="I23" s="401"/>
      <c r="J23" s="52" t="s">
        <v>116</v>
      </c>
      <c r="K23" s="138">
        <v>0</v>
      </c>
      <c r="L23" s="435"/>
      <c r="M23" s="404"/>
    </row>
    <row r="24" spans="1:13" s="49" customFormat="1" ht="41.5" x14ac:dyDescent="0.35">
      <c r="A24" s="439" t="s">
        <v>117</v>
      </c>
      <c r="B24" s="407" t="s">
        <v>118</v>
      </c>
      <c r="C24" s="409" t="s">
        <v>119</v>
      </c>
      <c r="D24" s="441"/>
      <c r="E24" s="446"/>
      <c r="F24" s="426"/>
      <c r="G24" s="429" t="s">
        <v>28</v>
      </c>
      <c r="H24" s="432">
        <f>IF(G24='Response Guidlines'!$D$81,'Response Guidlines'!$C$81, IF(G24='Response Guidlines'!$D$82,'Response Guidlines'!$C$82,IF(G24='Response Guidlines'!$D$83,'Response Guidlines'!$C$83,IF(G24='Response Guidlines'!$D$84,'Response Guidlines'!$C$84,IF(G24='Response Guidlines'!$D$85,'Response Guidlines'!$C$85,IF(G24='Response Guidlines'!$D$86,'Response Guidlines'!$C$86,IF(G24='Response Guidlines'!$D$87,'Response Guidlines'!$C$87,"No Rating")))))))</f>
        <v>5</v>
      </c>
      <c r="I24" s="420">
        <f>(H24/$H$43)/_xlfn.XLOOKUP('Scoring Summary'!$D$18,'Response Guidlines'!$D$92:$D$191,'Response Guidlines'!$C$92:$C$191,"",0,1)</f>
        <v>1.7857142857142735E-2</v>
      </c>
      <c r="J24" s="52" t="s">
        <v>120</v>
      </c>
      <c r="K24" s="136">
        <f>I24</f>
        <v>1.7857142857142735E-2</v>
      </c>
      <c r="L24" s="435">
        <v>0</v>
      </c>
      <c r="M24" s="438"/>
    </row>
    <row r="25" spans="1:13" s="49" customFormat="1" ht="41.5" x14ac:dyDescent="0.35">
      <c r="A25" s="439"/>
      <c r="B25" s="407"/>
      <c r="C25" s="409"/>
      <c r="D25" s="442"/>
      <c r="E25" s="444"/>
      <c r="F25" s="427"/>
      <c r="G25" s="430"/>
      <c r="H25" s="433"/>
      <c r="I25" s="401"/>
      <c r="J25" s="52" t="s">
        <v>121</v>
      </c>
      <c r="K25" s="138">
        <f>K24*0.6666</f>
        <v>1.1903571428571347E-2</v>
      </c>
      <c r="L25" s="435"/>
      <c r="M25" s="404"/>
    </row>
    <row r="26" spans="1:13" s="49" customFormat="1" ht="41.5" x14ac:dyDescent="0.35">
      <c r="A26" s="439"/>
      <c r="B26" s="407"/>
      <c r="C26" s="409"/>
      <c r="D26" s="442"/>
      <c r="E26" s="444"/>
      <c r="F26" s="427"/>
      <c r="G26" s="430"/>
      <c r="H26" s="433"/>
      <c r="I26" s="401"/>
      <c r="J26" s="52" t="s">
        <v>122</v>
      </c>
      <c r="K26" s="138">
        <f>K24*0.3333</f>
        <v>5.9517857142856734E-3</v>
      </c>
      <c r="L26" s="436"/>
      <c r="M26" s="424"/>
    </row>
    <row r="27" spans="1:13" s="49" customFormat="1" ht="51" customHeight="1" x14ac:dyDescent="0.35">
      <c r="A27" s="440"/>
      <c r="B27" s="407"/>
      <c r="C27" s="409"/>
      <c r="D27" s="443"/>
      <c r="E27" s="445"/>
      <c r="F27" s="428"/>
      <c r="G27" s="431"/>
      <c r="H27" s="434"/>
      <c r="I27" s="401"/>
      <c r="J27" s="52" t="s">
        <v>123</v>
      </c>
      <c r="K27" s="138">
        <v>0</v>
      </c>
      <c r="L27" s="435"/>
      <c r="M27" s="404"/>
    </row>
    <row r="28" spans="1:13" s="49" customFormat="1" ht="20.5" x14ac:dyDescent="0.35">
      <c r="A28" s="439" t="s">
        <v>132</v>
      </c>
      <c r="B28" s="407" t="s">
        <v>125</v>
      </c>
      <c r="C28" s="425" t="s">
        <v>126</v>
      </c>
      <c r="D28" s="441"/>
      <c r="E28" s="446"/>
      <c r="F28" s="426"/>
      <c r="G28" s="429" t="s">
        <v>28</v>
      </c>
      <c r="H28" s="432">
        <f>IF(G28='Response Guidlines'!$D$81,'Response Guidlines'!$C$81, IF(G28='Response Guidlines'!$D$82,'Response Guidlines'!$C$82,IF(G28='Response Guidlines'!$D$83,'Response Guidlines'!$C$83,IF(G28='Response Guidlines'!$D$84,'Response Guidlines'!$C$84,IF(G28='Response Guidlines'!$D$85,'Response Guidlines'!$C$85,IF(G28='Response Guidlines'!$D$86,'Response Guidlines'!$C$86,IF(G28='Response Guidlines'!$D$87,'Response Guidlines'!$C$87,"No Rating")))))))</f>
        <v>5</v>
      </c>
      <c r="I28" s="420">
        <f>(H28/$H$43)/_xlfn.XLOOKUP('Scoring Summary'!$D$18,'Response Guidlines'!$D$92:$D$191,'Response Guidlines'!$C$92:$C$191,"",0,1)</f>
        <v>1.7857142857142735E-2</v>
      </c>
      <c r="J28" s="56" t="s">
        <v>127</v>
      </c>
      <c r="K28" s="136">
        <f>I28</f>
        <v>1.7857142857142735E-2</v>
      </c>
      <c r="L28" s="435">
        <v>0</v>
      </c>
      <c r="M28" s="404"/>
    </row>
    <row r="29" spans="1:13" s="49" customFormat="1" ht="40.5" x14ac:dyDescent="0.35">
      <c r="A29" s="439"/>
      <c r="B29" s="407"/>
      <c r="C29" s="425"/>
      <c r="D29" s="442"/>
      <c r="E29" s="444"/>
      <c r="F29" s="427"/>
      <c r="G29" s="430"/>
      <c r="H29" s="433"/>
      <c r="I29" s="401"/>
      <c r="J29" s="52" t="s">
        <v>128</v>
      </c>
      <c r="K29" s="138">
        <f>K28*0.5</f>
        <v>8.9285714285713674E-3</v>
      </c>
      <c r="L29" s="436"/>
      <c r="M29" s="424"/>
    </row>
    <row r="30" spans="1:13" s="49" customFormat="1" ht="50.5" x14ac:dyDescent="0.35">
      <c r="A30" s="440"/>
      <c r="B30" s="407"/>
      <c r="C30" s="425"/>
      <c r="D30" s="443"/>
      <c r="E30" s="445"/>
      <c r="F30" s="428"/>
      <c r="G30" s="431"/>
      <c r="H30" s="434"/>
      <c r="I30" s="401"/>
      <c r="J30" s="52" t="s">
        <v>129</v>
      </c>
      <c r="K30" s="138">
        <v>0</v>
      </c>
      <c r="L30" s="435"/>
      <c r="M30" s="404"/>
    </row>
    <row r="31" spans="1:13" s="49" customFormat="1" ht="20.5" x14ac:dyDescent="0.35">
      <c r="A31" s="439" t="s">
        <v>124</v>
      </c>
      <c r="B31" s="407" t="s">
        <v>131</v>
      </c>
      <c r="C31" s="425" t="s">
        <v>126</v>
      </c>
      <c r="D31" s="454"/>
      <c r="E31" s="444"/>
      <c r="F31" s="427"/>
      <c r="G31" s="429" t="s">
        <v>28</v>
      </c>
      <c r="H31" s="432">
        <f>IF(G31='Response Guidlines'!$D$81,'Response Guidlines'!$C$81, IF(G31='Response Guidlines'!$D$82,'Response Guidlines'!$C$82,IF(G31='Response Guidlines'!$D$83,'Response Guidlines'!$C$83,IF(G31='Response Guidlines'!$D$84,'Response Guidlines'!$C$84,IF(G31='Response Guidlines'!$D$85,'Response Guidlines'!$C$85,IF(G31='Response Guidlines'!$D$86,'Response Guidlines'!$C$86,IF(G31='Response Guidlines'!$D$87,'Response Guidlines'!$C$87,"No Rating")))))))</f>
        <v>5</v>
      </c>
      <c r="I31" s="420">
        <f>(H31/$H$43)/_xlfn.XLOOKUP('Scoring Summary'!$D$18,'Response Guidlines'!$D$92:$D$191,'Response Guidlines'!$C$92:$C$191,"",0,1)</f>
        <v>1.7857142857142735E-2</v>
      </c>
      <c r="J31" s="56" t="s">
        <v>127</v>
      </c>
      <c r="K31" s="136">
        <f>I31</f>
        <v>1.7857142857142735E-2</v>
      </c>
      <c r="L31" s="435">
        <v>0</v>
      </c>
      <c r="M31" s="438"/>
    </row>
    <row r="32" spans="1:13" s="49" customFormat="1" ht="40.5" x14ac:dyDescent="0.35">
      <c r="A32" s="439"/>
      <c r="B32" s="407"/>
      <c r="C32" s="425"/>
      <c r="D32" s="442"/>
      <c r="E32" s="444"/>
      <c r="F32" s="427"/>
      <c r="G32" s="430"/>
      <c r="H32" s="433"/>
      <c r="I32" s="401"/>
      <c r="J32" s="52" t="s">
        <v>128</v>
      </c>
      <c r="K32" s="138">
        <f>K31*0.5</f>
        <v>8.9285714285713674E-3</v>
      </c>
      <c r="L32" s="436"/>
      <c r="M32" s="404"/>
    </row>
    <row r="33" spans="1:15" s="49" customFormat="1" ht="50.5" x14ac:dyDescent="0.35">
      <c r="A33" s="440"/>
      <c r="B33" s="407"/>
      <c r="C33" s="425"/>
      <c r="D33" s="443"/>
      <c r="E33" s="445"/>
      <c r="F33" s="428"/>
      <c r="G33" s="431"/>
      <c r="H33" s="434"/>
      <c r="I33" s="401"/>
      <c r="J33" s="52" t="s">
        <v>129</v>
      </c>
      <c r="K33" s="138">
        <v>0</v>
      </c>
      <c r="L33" s="435"/>
      <c r="M33" s="404"/>
    </row>
    <row r="34" spans="1:15" s="49" customFormat="1" ht="10" x14ac:dyDescent="0.35">
      <c r="A34" s="405" t="s">
        <v>130</v>
      </c>
      <c r="B34" s="407" t="s">
        <v>133</v>
      </c>
      <c r="C34" s="409" t="s">
        <v>134</v>
      </c>
      <c r="D34" s="407"/>
      <c r="E34" s="412"/>
      <c r="F34" s="414"/>
      <c r="G34" s="416" t="s">
        <v>27</v>
      </c>
      <c r="H34" s="418">
        <f>IF(G34='Response Guidlines'!$D$81,'Response Guidlines'!$C$81, IF(G34='Response Guidlines'!$D$82,'Response Guidlines'!$C$82,IF(G34='Response Guidlines'!$D$83,'Response Guidlines'!$C$83,IF(G34='Response Guidlines'!$D$84,'Response Guidlines'!$C$84,IF(G34='Response Guidlines'!$D$85,'Response Guidlines'!$C$85,IF(G34='Response Guidlines'!$D$86,'Response Guidlines'!$C$86,IF(G34='Response Guidlines'!$D$87,'Response Guidlines'!$C$87,"No Rating")))))))</f>
        <v>4</v>
      </c>
      <c r="I34" s="401">
        <f>(H34/$H$43)/_xlfn.XLOOKUP('Scoring Summary'!$D$18,'Response Guidlines'!$D$92:$D$191,'Response Guidlines'!$C$92:$C$191,"",0,1)</f>
        <v>1.428571428571419E-2</v>
      </c>
      <c r="J34" s="52" t="s">
        <v>135</v>
      </c>
      <c r="K34" s="136">
        <f>I34</f>
        <v>1.428571428571419E-2</v>
      </c>
      <c r="L34" s="435">
        <v>0</v>
      </c>
      <c r="M34" s="437"/>
    </row>
    <row r="35" spans="1:15" s="49" customFormat="1" ht="20" x14ac:dyDescent="0.35">
      <c r="A35" s="405"/>
      <c r="B35" s="407"/>
      <c r="C35" s="409"/>
      <c r="D35" s="407"/>
      <c r="E35" s="412"/>
      <c r="F35" s="414"/>
      <c r="G35" s="416"/>
      <c r="H35" s="418"/>
      <c r="I35" s="401"/>
      <c r="J35" s="52" t="s">
        <v>136</v>
      </c>
      <c r="K35" s="138">
        <f>K34*0.5</f>
        <v>7.1428571428570949E-3</v>
      </c>
      <c r="L35" s="435"/>
      <c r="M35" s="437"/>
    </row>
    <row r="36" spans="1:15" s="49" customFormat="1" ht="48.75" customHeight="1" x14ac:dyDescent="0.35">
      <c r="A36" s="405"/>
      <c r="B36" s="407"/>
      <c r="C36" s="409"/>
      <c r="D36" s="407"/>
      <c r="E36" s="412"/>
      <c r="F36" s="414"/>
      <c r="G36" s="416"/>
      <c r="H36" s="418"/>
      <c r="I36" s="401"/>
      <c r="J36" s="52" t="s">
        <v>137</v>
      </c>
      <c r="K36" s="138">
        <f>K34*0</f>
        <v>0</v>
      </c>
      <c r="L36" s="436"/>
      <c r="M36" s="437"/>
      <c r="O36" s="217"/>
    </row>
    <row r="37" spans="1:15" s="49" customFormat="1" ht="20" x14ac:dyDescent="0.35">
      <c r="A37" s="405" t="s">
        <v>1303</v>
      </c>
      <c r="B37" s="407" t="s">
        <v>1298</v>
      </c>
      <c r="C37" s="409" t="s">
        <v>1300</v>
      </c>
      <c r="D37" s="411"/>
      <c r="E37" s="412"/>
      <c r="F37" s="414"/>
      <c r="G37" s="416" t="s">
        <v>26</v>
      </c>
      <c r="H37" s="418">
        <f>IF(G37='Response Guidlines'!$D$81,'Response Guidlines'!$C$81, IF(G37='Response Guidlines'!$D$82,'Response Guidlines'!$C$82,IF(G37='Response Guidlines'!$D$83,'Response Guidlines'!$C$83,IF(G37='Response Guidlines'!$D$84,'Response Guidlines'!$C$84,IF(G37='Response Guidlines'!$D$85,'Response Guidlines'!$C$85,IF(G37='Response Guidlines'!$D$86,'Response Guidlines'!$C$86,IF(G37='Response Guidlines'!$D$87,'Response Guidlines'!$C$87,"No Rating")))))))</f>
        <v>3</v>
      </c>
      <c r="I37" s="401">
        <f>(H37/$H$43)/_xlfn.XLOOKUP('Scoring Summary'!$D$18,'Response Guidlines'!$D$92:$D$191,'Response Guidlines'!$C$92:$C$191,"",0,1)</f>
        <v>1.0714285714285642E-2</v>
      </c>
      <c r="J37" s="336" t="s">
        <v>1292</v>
      </c>
      <c r="K37" s="334">
        <f>I37</f>
        <v>1.0714285714285642E-2</v>
      </c>
      <c r="L37" s="402">
        <v>0</v>
      </c>
      <c r="M37" s="404"/>
    </row>
    <row r="38" spans="1:15" s="49" customFormat="1" ht="20" x14ac:dyDescent="0.35">
      <c r="A38" s="405"/>
      <c r="B38" s="407"/>
      <c r="C38" s="409"/>
      <c r="D38" s="407"/>
      <c r="E38" s="412"/>
      <c r="F38" s="414"/>
      <c r="G38" s="416"/>
      <c r="H38" s="418"/>
      <c r="I38" s="401"/>
      <c r="J38" s="336" t="s">
        <v>1293</v>
      </c>
      <c r="K38" s="275">
        <f>K37*0.5</f>
        <v>5.3571428571428208E-3</v>
      </c>
      <c r="L38" s="403"/>
      <c r="M38" s="404"/>
    </row>
    <row r="39" spans="1:15" s="49" customFormat="1" ht="28.5" customHeight="1" x14ac:dyDescent="0.35">
      <c r="A39" s="405"/>
      <c r="B39" s="407"/>
      <c r="C39" s="409"/>
      <c r="D39" s="407"/>
      <c r="E39" s="412"/>
      <c r="F39" s="414"/>
      <c r="G39" s="416"/>
      <c r="H39" s="418"/>
      <c r="I39" s="401"/>
      <c r="J39" s="337" t="s">
        <v>1286</v>
      </c>
      <c r="K39" s="275">
        <v>0</v>
      </c>
      <c r="L39" s="403"/>
      <c r="M39" s="404"/>
    </row>
    <row r="40" spans="1:15" s="49" customFormat="1" ht="10" x14ac:dyDescent="0.35">
      <c r="A40" s="405" t="s">
        <v>1304</v>
      </c>
      <c r="B40" s="407" t="s">
        <v>1294</v>
      </c>
      <c r="C40" s="409" t="s">
        <v>1299</v>
      </c>
      <c r="D40" s="411"/>
      <c r="E40" s="412"/>
      <c r="F40" s="414"/>
      <c r="G40" s="416" t="s">
        <v>26</v>
      </c>
      <c r="H40" s="418">
        <f>IF(G40='Response Guidlines'!$D$81,'Response Guidlines'!$C$81, IF(G40='Response Guidlines'!$D$82,'Response Guidlines'!$C$82,IF(G40='Response Guidlines'!$D$83,'Response Guidlines'!$C$83,IF(G40='Response Guidlines'!$D$84,'Response Guidlines'!$C$84,IF(G40='Response Guidlines'!$D$85,'Response Guidlines'!$C$85,IF(G40='Response Guidlines'!$D$86,'Response Guidlines'!$C$86,IF(G40='Response Guidlines'!$D$87,'Response Guidlines'!$C$87,"No Rating")))))))</f>
        <v>3</v>
      </c>
      <c r="I40" s="420">
        <f>(H40/$H$43)/_xlfn.XLOOKUP('Scoring Summary'!$D$18,'Response Guidlines'!$D$92:$D$191,'Response Guidlines'!$C$92:$C$191,"",0,1)</f>
        <v>1.0714285714285642E-2</v>
      </c>
      <c r="J40" s="337" t="s">
        <v>1289</v>
      </c>
      <c r="K40" s="275">
        <f>I40</f>
        <v>1.0714285714285642E-2</v>
      </c>
      <c r="L40" s="403">
        <v>0</v>
      </c>
      <c r="M40" s="404"/>
    </row>
    <row r="41" spans="1:15" s="49" customFormat="1" ht="10" x14ac:dyDescent="0.35">
      <c r="A41" s="405"/>
      <c r="B41" s="407"/>
      <c r="C41" s="409"/>
      <c r="D41" s="407"/>
      <c r="E41" s="412"/>
      <c r="F41" s="414"/>
      <c r="G41" s="416"/>
      <c r="H41" s="418"/>
      <c r="I41" s="401"/>
      <c r="J41" s="337" t="s">
        <v>1288</v>
      </c>
      <c r="K41" s="275">
        <f>K40*0.5</f>
        <v>5.3571428571428208E-3</v>
      </c>
      <c r="L41" s="403"/>
      <c r="M41" s="404"/>
    </row>
    <row r="42" spans="1:15" s="49" customFormat="1" ht="16.149999999999999" customHeight="1" thickBot="1" x14ac:dyDescent="0.4">
      <c r="A42" s="406"/>
      <c r="B42" s="408"/>
      <c r="C42" s="410"/>
      <c r="D42" s="408"/>
      <c r="E42" s="413"/>
      <c r="F42" s="415"/>
      <c r="G42" s="417"/>
      <c r="H42" s="419"/>
      <c r="I42" s="421"/>
      <c r="J42" s="338" t="s">
        <v>1286</v>
      </c>
      <c r="K42" s="291">
        <v>0</v>
      </c>
      <c r="L42" s="422"/>
      <c r="M42" s="423"/>
    </row>
    <row r="43" spans="1:15" s="49" customFormat="1" ht="11" thickBot="1" x14ac:dyDescent="0.4">
      <c r="A43" s="339"/>
      <c r="B43" s="206" t="s">
        <v>138</v>
      </c>
      <c r="C43" s="206"/>
      <c r="D43" s="82"/>
      <c r="E43" s="82"/>
      <c r="F43" s="82"/>
      <c r="G43" s="206"/>
      <c r="H43" s="252">
        <f>SUM(H12:H42)</f>
        <v>42</v>
      </c>
      <c r="I43" s="253">
        <f>SUM(I12:I42)</f>
        <v>0.149999999999999</v>
      </c>
      <c r="J43" s="461" t="s">
        <v>139</v>
      </c>
      <c r="K43" s="462"/>
      <c r="L43" s="253">
        <f>SUM(L12:L42)</f>
        <v>0</v>
      </c>
      <c r="M43" s="254"/>
    </row>
  </sheetData>
  <mergeCells count="107">
    <mergeCell ref="D8:F9"/>
    <mergeCell ref="J9:M9"/>
    <mergeCell ref="E2:G4"/>
    <mergeCell ref="G20:G23"/>
    <mergeCell ref="H20:H23"/>
    <mergeCell ref="I10:M10"/>
    <mergeCell ref="L12:L15"/>
    <mergeCell ref="M20:M23"/>
    <mergeCell ref="L20:L23"/>
    <mergeCell ref="L16:L19"/>
    <mergeCell ref="M16:M19"/>
    <mergeCell ref="M12:M15"/>
    <mergeCell ref="A12:A15"/>
    <mergeCell ref="L24:L27"/>
    <mergeCell ref="A24:A27"/>
    <mergeCell ref="F31:F33"/>
    <mergeCell ref="J43:K43"/>
    <mergeCell ref="F20:F23"/>
    <mergeCell ref="I20:I23"/>
    <mergeCell ref="G12:G15"/>
    <mergeCell ref="H12:H15"/>
    <mergeCell ref="I12:I15"/>
    <mergeCell ref="I28:I30"/>
    <mergeCell ref="F16:F19"/>
    <mergeCell ref="G16:G19"/>
    <mergeCell ref="H16:H19"/>
    <mergeCell ref="I16:I19"/>
    <mergeCell ref="E37:E39"/>
    <mergeCell ref="F37:F39"/>
    <mergeCell ref="G37:G39"/>
    <mergeCell ref="H37:H39"/>
    <mergeCell ref="A34:A36"/>
    <mergeCell ref="B34:B36"/>
    <mergeCell ref="D34:D36"/>
    <mergeCell ref="E34:E36"/>
    <mergeCell ref="F34:F36"/>
    <mergeCell ref="M24:M27"/>
    <mergeCell ref="F24:F27"/>
    <mergeCell ref="G24:G27"/>
    <mergeCell ref="H24:H27"/>
    <mergeCell ref="I24:I27"/>
    <mergeCell ref="A10:A11"/>
    <mergeCell ref="B10:C10"/>
    <mergeCell ref="D10:F10"/>
    <mergeCell ref="A31:A33"/>
    <mergeCell ref="B31:B33"/>
    <mergeCell ref="C31:C33"/>
    <mergeCell ref="D31:D33"/>
    <mergeCell ref="E31:E33"/>
    <mergeCell ref="A28:A30"/>
    <mergeCell ref="B28:B30"/>
    <mergeCell ref="D28:D30"/>
    <mergeCell ref="E28:E30"/>
    <mergeCell ref="B12:B15"/>
    <mergeCell ref="C12:C15"/>
    <mergeCell ref="D12:D15"/>
    <mergeCell ref="E12:E15"/>
    <mergeCell ref="F12:F15"/>
    <mergeCell ref="A20:A23"/>
    <mergeCell ref="B20:B23"/>
    <mergeCell ref="A16:A19"/>
    <mergeCell ref="B16:B19"/>
    <mergeCell ref="C16:C19"/>
    <mergeCell ref="D16:D19"/>
    <mergeCell ref="E16:E19"/>
    <mergeCell ref="B24:B27"/>
    <mergeCell ref="C24:C27"/>
    <mergeCell ref="D24:D27"/>
    <mergeCell ref="E24:E27"/>
    <mergeCell ref="C20:C23"/>
    <mergeCell ref="D20:D23"/>
    <mergeCell ref="E20:E23"/>
    <mergeCell ref="M28:M30"/>
    <mergeCell ref="C28:C30"/>
    <mergeCell ref="F28:F30"/>
    <mergeCell ref="G28:G30"/>
    <mergeCell ref="H28:H30"/>
    <mergeCell ref="L28:L30"/>
    <mergeCell ref="L34:L36"/>
    <mergeCell ref="G34:G36"/>
    <mergeCell ref="H34:H36"/>
    <mergeCell ref="I34:I36"/>
    <mergeCell ref="M34:M36"/>
    <mergeCell ref="M31:M33"/>
    <mergeCell ref="G31:G33"/>
    <mergeCell ref="H31:H33"/>
    <mergeCell ref="I31:I33"/>
    <mergeCell ref="L31:L33"/>
    <mergeCell ref="C34:C36"/>
    <mergeCell ref="I37:I39"/>
    <mergeCell ref="L37:L39"/>
    <mergeCell ref="M37:M39"/>
    <mergeCell ref="A40:A42"/>
    <mergeCell ref="B40:B42"/>
    <mergeCell ref="C40:C42"/>
    <mergeCell ref="D40:D42"/>
    <mergeCell ref="E40:E42"/>
    <mergeCell ref="F40:F42"/>
    <mergeCell ref="G40:G42"/>
    <mergeCell ref="H40:H42"/>
    <mergeCell ref="I40:I42"/>
    <mergeCell ref="L40:L42"/>
    <mergeCell ref="M40:M42"/>
    <mergeCell ref="A37:A39"/>
    <mergeCell ref="B37:B39"/>
    <mergeCell ref="C37:C39"/>
    <mergeCell ref="D37:D39"/>
  </mergeCells>
  <phoneticPr fontId="34" type="noConversion"/>
  <dataValidations count="18">
    <dataValidation type="list" allowBlank="1" showInputMessage="1" showErrorMessage="1" sqref="D12:D15" xr:uid="{A8462677-020A-412A-BED3-1BF824959668}">
      <formula1>$J$12:$J$15</formula1>
    </dataValidation>
    <dataValidation type="list" allowBlank="1" showInputMessage="1" showErrorMessage="1" sqref="L12:L15" xr:uid="{3314B240-B548-4811-9CF4-893CAA00195A}">
      <formula1>$K$12:$K$15</formula1>
    </dataValidation>
    <dataValidation type="list" allowBlank="1" showInputMessage="1" showErrorMessage="1" sqref="L16:L19" xr:uid="{AB34DC49-CCED-4941-B673-21FCF6C86EA3}">
      <formula1>K16:K19</formula1>
    </dataValidation>
    <dataValidation type="list" allowBlank="1" showInputMessage="1" showErrorMessage="1" sqref="D31:D33" xr:uid="{BB88AAC3-8C7F-43DC-A6F5-892D0C30BCE5}">
      <formula1>$J$31:$J$33</formula1>
    </dataValidation>
    <dataValidation type="list" allowBlank="1" showInputMessage="1" showErrorMessage="1" sqref="D16:D19" xr:uid="{8235C19A-ED24-44FC-A499-80FB5F825D48}">
      <formula1>$J$16:$J$19</formula1>
    </dataValidation>
    <dataValidation type="list" allowBlank="1" showInputMessage="1" showErrorMessage="1" sqref="D20:D23 D31:D33" xr:uid="{2EADC63F-74AA-4D2D-BB2A-57D13E31BE88}">
      <formula1>$J$20:$J$23</formula1>
    </dataValidation>
    <dataValidation type="list" allowBlank="1" showInputMessage="1" showErrorMessage="1" sqref="L34:L36" xr:uid="{C0509ED5-29F5-4227-81BA-22FD63E5087A}">
      <formula1>$K$34:$K$36</formula1>
    </dataValidation>
    <dataValidation type="list" allowBlank="1" showInputMessage="1" showErrorMessage="1" sqref="D24:D27" xr:uid="{706FB335-DD3E-4481-B545-8AC5547504FC}">
      <formula1>$J$24:$J$27</formula1>
    </dataValidation>
    <dataValidation type="list" allowBlank="1" showInputMessage="1" showErrorMessage="1" sqref="D28:D30" xr:uid="{8D1C808C-866E-4A4A-8EAC-0A26C3EE0081}">
      <formula1>$J$28:$J$30</formula1>
    </dataValidation>
    <dataValidation type="list" allowBlank="1" showInputMessage="1" showErrorMessage="1" sqref="D34:D36" xr:uid="{F57A3660-D1DC-47B5-93F7-BC4C95444AA5}">
      <formula1>$J$34:$J$36</formula1>
    </dataValidation>
    <dataValidation type="list" allowBlank="1" showInputMessage="1" showErrorMessage="1" sqref="L20:L23" xr:uid="{342FD2E2-69E8-4F23-8CEC-0E19ED62E018}">
      <formula1>$K$20:$K$23</formula1>
    </dataValidation>
    <dataValidation type="list" allowBlank="1" showInputMessage="1" showErrorMessage="1" sqref="L24:L27" xr:uid="{ADF64422-0099-4F64-98AC-2D331BF11501}">
      <formula1>$K$24:$K$27</formula1>
    </dataValidation>
    <dataValidation type="list" allowBlank="1" showInputMessage="1" showErrorMessage="1" sqref="L28:L30" xr:uid="{E3C6F8F4-BED5-45AB-85D2-5D1C98872817}">
      <formula1>$K$28:$K$30</formula1>
    </dataValidation>
    <dataValidation type="list" allowBlank="1" showInputMessage="1" showErrorMessage="1" sqref="L31:L33" xr:uid="{46E98671-FA84-4F2C-B137-BA5A6CAE4D50}">
      <formula1>$K$31:$K$33</formula1>
    </dataValidation>
    <dataValidation type="list" allowBlank="1" showInputMessage="1" showErrorMessage="1" sqref="L40:L42" xr:uid="{89A0D608-AB2D-4078-ADBB-7EF9615C655C}">
      <formula1>$L$78:$L$80</formula1>
    </dataValidation>
    <dataValidation type="list" allowBlank="1" showInputMessage="1" showErrorMessage="1" sqref="L37:L39" xr:uid="{4750607B-67A6-4394-B586-24428561A285}">
      <formula1>$L$75:$L$77</formula1>
    </dataValidation>
    <dataValidation type="list" allowBlank="1" showInputMessage="1" showErrorMessage="1" sqref="D40:D42" xr:uid="{4BD4DADA-C2EC-4587-A8CB-18C138B1451A}">
      <formula1>$K$78:$K$80</formula1>
    </dataValidation>
    <dataValidation type="list" allowBlank="1" showInputMessage="1" showErrorMessage="1" sqref="D37:D39" xr:uid="{65231DBD-FFE3-463D-BDB2-C1BC4111B80D}">
      <formula1>$K$75:$K$77</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289C530-3718-4DB4-B6FC-271F96FEDB96}">
          <x14:formula1>
            <xm:f>'Response Guidlines'!$D$81:$D$87</xm:f>
          </x14:formula1>
          <xm:sqref>G12:G42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9EAAC-CFAA-4816-AE2A-0C85D9959620}">
  <sheetPr>
    <tabColor theme="5" tint="-0.499984740745262"/>
    <pageSetUpPr fitToPage="1"/>
  </sheetPr>
  <dimension ref="A1:O25"/>
  <sheetViews>
    <sheetView zoomScaleNormal="100" workbookViewId="0">
      <selection activeCell="C4" sqref="C4"/>
    </sheetView>
  </sheetViews>
  <sheetFormatPr defaultColWidth="9.26953125" defaultRowHeight="10.5" x14ac:dyDescent="0.25"/>
  <cols>
    <col min="1" max="1" width="5.26953125" style="19" customWidth="1"/>
    <col min="2" max="2" width="37.26953125" style="18" customWidth="1"/>
    <col min="3" max="3" width="37.7265625" style="18" customWidth="1"/>
    <col min="4" max="5" width="23.26953125" style="18" customWidth="1"/>
    <col min="6" max="6" width="25.26953125" style="18" customWidth="1"/>
    <col min="7" max="7" width="11.26953125" style="18" customWidth="1"/>
    <col min="8" max="8" width="7.54296875" style="18" customWidth="1"/>
    <col min="9" max="9" width="7.26953125" style="17" customWidth="1"/>
    <col min="10" max="10" width="29" style="16" customWidth="1"/>
    <col min="11" max="11" width="5.26953125" style="15" customWidth="1"/>
    <col min="12" max="12" width="5.453125" style="13" customWidth="1"/>
    <col min="13" max="13" width="40.453125" style="14" customWidth="1"/>
    <col min="14" max="14" width="8.453125" style="13" customWidth="1"/>
    <col min="15" max="15" width="9.26953125" style="13" hidden="1" customWidth="1"/>
    <col min="16" max="16384" width="9.26953125" style="13"/>
  </cols>
  <sheetData>
    <row r="1" spans="1:13" x14ac:dyDescent="0.25">
      <c r="B1" s="76"/>
      <c r="C1" s="76"/>
      <c r="D1" s="76"/>
      <c r="E1" s="76"/>
      <c r="F1" s="76"/>
      <c r="G1" s="76"/>
      <c r="H1" s="76"/>
    </row>
    <row r="2" spans="1:13" ht="14.65" customHeight="1" x14ac:dyDescent="0.35">
      <c r="B2" s="11" t="s">
        <v>51</v>
      </c>
      <c r="C2" s="12" t="str">
        <f>'Scoring Summary'!C2</f>
        <v>&lt;insert before tender publication&gt;</v>
      </c>
      <c r="D2" s="46"/>
      <c r="E2" s="390" t="s">
        <v>140</v>
      </c>
      <c r="F2" s="390"/>
      <c r="G2" s="390"/>
      <c r="H2" s="75"/>
      <c r="I2" s="75"/>
      <c r="J2" s="46"/>
      <c r="K2" s="46"/>
      <c r="L2" s="46"/>
      <c r="M2" s="46"/>
    </row>
    <row r="3" spans="1:13" ht="28.9" customHeight="1" x14ac:dyDescent="0.35">
      <c r="B3" s="11" t="s">
        <v>54</v>
      </c>
      <c r="C3" s="116" t="str">
        <f>'Scoring Summary'!C3</f>
        <v>IT00641 Dx Commercial Energy Trader (Dx CET)</v>
      </c>
      <c r="D3" s="46"/>
      <c r="E3" s="83" t="s">
        <v>141</v>
      </c>
      <c r="F3" s="75" t="s">
        <v>6</v>
      </c>
      <c r="G3" s="75"/>
      <c r="H3" s="46"/>
      <c r="I3" s="46"/>
      <c r="J3" s="46"/>
      <c r="K3" s="46"/>
      <c r="L3" s="46"/>
      <c r="M3" s="46"/>
    </row>
    <row r="4" spans="1:13" ht="14.65" customHeight="1" x14ac:dyDescent="0.35">
      <c r="B4" s="11" t="s">
        <v>55</v>
      </c>
      <c r="C4" s="346">
        <f>'Scoring Summary'!C4</f>
        <v>0.7</v>
      </c>
      <c r="D4" s="46"/>
      <c r="E4" s="75"/>
      <c r="F4" s="75"/>
      <c r="G4" s="75"/>
      <c r="H4" s="46"/>
      <c r="I4" s="46"/>
      <c r="J4" s="46"/>
      <c r="K4" s="46"/>
      <c r="L4" s="46"/>
      <c r="M4" s="46"/>
    </row>
    <row r="5" spans="1:13" ht="14.65" customHeight="1" x14ac:dyDescent="0.35">
      <c r="B5" s="11" t="s">
        <v>84</v>
      </c>
      <c r="C5" s="10" t="str">
        <f>'Scoring Summary'!C5</f>
        <v>&lt;Evaluator to complete&gt;</v>
      </c>
      <c r="D5" s="46"/>
      <c r="E5" s="75"/>
      <c r="F5" s="75"/>
      <c r="G5" s="75"/>
      <c r="H5" s="46"/>
      <c r="I5" s="46"/>
      <c r="J5" s="46"/>
      <c r="K5" s="46"/>
      <c r="L5" s="46"/>
      <c r="M5" s="46"/>
    </row>
    <row r="6" spans="1:13" ht="14.65" customHeight="1" x14ac:dyDescent="0.35">
      <c r="B6" s="11" t="s">
        <v>58</v>
      </c>
      <c r="C6" s="10" t="str">
        <f>'Scoring Summary'!C6</f>
        <v>&lt;Evaluator to complete&gt;</v>
      </c>
      <c r="D6" s="46"/>
      <c r="E6" s="46"/>
      <c r="F6" s="46"/>
      <c r="G6" s="46"/>
      <c r="H6" s="46"/>
      <c r="I6" s="46"/>
      <c r="J6" s="46"/>
      <c r="K6" s="46"/>
      <c r="L6" s="46"/>
      <c r="M6" s="46"/>
    </row>
    <row r="7" spans="1:13" ht="14.65" customHeight="1" x14ac:dyDescent="0.35">
      <c r="B7" s="11" t="s">
        <v>59</v>
      </c>
      <c r="C7" s="10" t="str">
        <f>'Scoring Summary'!C7</f>
        <v>&lt;Evaluator to complete&gt;</v>
      </c>
      <c r="D7" s="46"/>
      <c r="E7" s="46"/>
      <c r="F7" s="46"/>
      <c r="G7" s="46"/>
      <c r="H7" s="46"/>
      <c r="I7" s="46"/>
      <c r="J7" s="46"/>
      <c r="K7" s="46"/>
      <c r="L7" s="46"/>
      <c r="M7" s="46"/>
    </row>
    <row r="8" spans="1:13" ht="14" x14ac:dyDescent="0.3">
      <c r="B8" s="11" t="s">
        <v>60</v>
      </c>
      <c r="C8" s="10"/>
      <c r="D8" s="466" t="s">
        <v>1278</v>
      </c>
      <c r="E8" s="467"/>
      <c r="F8" s="468"/>
      <c r="G8" s="318"/>
      <c r="H8" s="318"/>
      <c r="I8" s="318"/>
      <c r="J8" s="318"/>
      <c r="K8" s="318"/>
      <c r="L8" s="318"/>
      <c r="M8" s="318"/>
    </row>
    <row r="9" spans="1:13" ht="13.5" thickBot="1" x14ac:dyDescent="0.35">
      <c r="B9" s="30"/>
      <c r="C9" s="30"/>
      <c r="D9" s="469"/>
      <c r="E9" s="470"/>
      <c r="F9" s="471"/>
      <c r="G9" s="319"/>
      <c r="H9" s="319"/>
      <c r="I9" s="320"/>
      <c r="J9" s="472" t="s">
        <v>1279</v>
      </c>
      <c r="K9" s="472"/>
      <c r="L9" s="472"/>
      <c r="M9" s="472"/>
    </row>
    <row r="10" spans="1:13" ht="14.65" customHeight="1" x14ac:dyDescent="0.2">
      <c r="A10" s="500" t="s">
        <v>85</v>
      </c>
      <c r="B10" s="502" t="s">
        <v>86</v>
      </c>
      <c r="C10" s="503"/>
      <c r="D10" s="504" t="s">
        <v>87</v>
      </c>
      <c r="E10" s="505"/>
      <c r="F10" s="506"/>
      <c r="G10" s="74"/>
      <c r="H10" s="74"/>
      <c r="I10" s="73" t="s">
        <v>88</v>
      </c>
      <c r="J10" s="72"/>
      <c r="K10" s="72"/>
      <c r="L10" s="72"/>
      <c r="M10" s="71"/>
    </row>
    <row r="11" spans="1:13" s="49" customFormat="1" ht="58.15" customHeight="1" thickBot="1" x14ac:dyDescent="0.4">
      <c r="A11" s="501"/>
      <c r="B11" s="70" t="s">
        <v>89</v>
      </c>
      <c r="C11" s="69" t="s">
        <v>62</v>
      </c>
      <c r="D11" s="68" t="s">
        <v>142</v>
      </c>
      <c r="E11" s="67" t="s">
        <v>64</v>
      </c>
      <c r="F11" s="66" t="s">
        <v>91</v>
      </c>
      <c r="G11" s="80" t="s">
        <v>92</v>
      </c>
      <c r="H11" s="64" t="s">
        <v>93</v>
      </c>
      <c r="I11" s="63" t="s">
        <v>94</v>
      </c>
      <c r="J11" s="62" t="s">
        <v>95</v>
      </c>
      <c r="K11" s="61" t="s">
        <v>96</v>
      </c>
      <c r="L11" s="60" t="s">
        <v>67</v>
      </c>
      <c r="M11" s="59" t="s">
        <v>68</v>
      </c>
    </row>
    <row r="12" spans="1:13" s="58" customFormat="1" ht="10" x14ac:dyDescent="0.35">
      <c r="A12" s="497" t="s">
        <v>143</v>
      </c>
      <c r="B12" s="455" t="s">
        <v>144</v>
      </c>
      <c r="C12" s="477" t="s">
        <v>145</v>
      </c>
      <c r="D12" s="498"/>
      <c r="E12" s="499" t="s">
        <v>146</v>
      </c>
      <c r="F12" s="495"/>
      <c r="G12" s="496" t="s">
        <v>29</v>
      </c>
      <c r="H12" s="493">
        <f>IF(G12='Response Guidlines'!$D$81,'Response Guidlines'!$C$81, IF(G12='Response Guidlines'!$D$82,'Response Guidlines'!$C$82,IF(G12='Response Guidlines'!$D$83,'Response Guidlines'!$C$83,IF(G12='Response Guidlines'!$D$84,'Response Guidlines'!$C$84,IF(G12='Response Guidlines'!$D$85,'Response Guidlines'!$C$85,IF(G12='Response Guidlines'!$D$86,'Response Guidlines'!$C$86,IF(G12='Response Guidlines'!$D$87,'Response Guidlines'!$C$87,"No Rating")))))))</f>
        <v>6</v>
      </c>
      <c r="I12" s="465">
        <f>(H12/$H$23)/_xlfn.XLOOKUP('Scoring Summary'!$D$25,'Response Guidlines'!$D$92:$D$191,'Response Guidlines'!$C$92:$C$191,"",0,1)</f>
        <v>1.666666666666633E-2</v>
      </c>
      <c r="J12" s="273" t="s">
        <v>147</v>
      </c>
      <c r="K12" s="276">
        <f>I12</f>
        <v>1.666666666666633E-2</v>
      </c>
      <c r="L12" s="476">
        <v>0</v>
      </c>
      <c r="M12" s="494"/>
    </row>
    <row r="13" spans="1:13" s="58" customFormat="1" ht="30" x14ac:dyDescent="0.35">
      <c r="A13" s="405"/>
      <c r="B13" s="407"/>
      <c r="C13" s="404"/>
      <c r="D13" s="488"/>
      <c r="E13" s="490"/>
      <c r="F13" s="486"/>
      <c r="G13" s="481"/>
      <c r="H13" s="418"/>
      <c r="I13" s="401"/>
      <c r="J13" s="52" t="s">
        <v>148</v>
      </c>
      <c r="K13" s="138">
        <f>K12/2</f>
        <v>8.3333333333331649E-3</v>
      </c>
      <c r="L13" s="435"/>
      <c r="M13" s="484"/>
    </row>
    <row r="14" spans="1:13" s="58" customFormat="1" ht="30" x14ac:dyDescent="0.35">
      <c r="A14" s="405"/>
      <c r="B14" s="407"/>
      <c r="C14" s="404"/>
      <c r="D14" s="488"/>
      <c r="E14" s="490"/>
      <c r="F14" s="486"/>
      <c r="G14" s="492"/>
      <c r="H14" s="418"/>
      <c r="I14" s="401"/>
      <c r="J14" s="52" t="s">
        <v>149</v>
      </c>
      <c r="K14" s="138">
        <v>0</v>
      </c>
      <c r="L14" s="435"/>
      <c r="M14" s="484"/>
    </row>
    <row r="15" spans="1:13" s="58" customFormat="1" ht="20" x14ac:dyDescent="0.35">
      <c r="A15" s="405" t="s">
        <v>150</v>
      </c>
      <c r="B15" s="407" t="s">
        <v>151</v>
      </c>
      <c r="C15" s="404" t="s">
        <v>152</v>
      </c>
      <c r="D15" s="488"/>
      <c r="E15" s="490"/>
      <c r="F15" s="486"/>
      <c r="G15" s="480" t="s">
        <v>28</v>
      </c>
      <c r="H15" s="418">
        <f>IF(G15='Response Guidlines'!$D$81,'Response Guidlines'!$C$81, IF(G15='Response Guidlines'!$D$82,'Response Guidlines'!$C$82,IF(G15='Response Guidlines'!$D$83,'Response Guidlines'!$C$83,IF(G15='Response Guidlines'!$D$84,'Response Guidlines'!$C$84,IF(G15='Response Guidlines'!$D$85,'Response Guidlines'!$C$85,IF(G15='Response Guidlines'!$D$86,'Response Guidlines'!$C$86,IF(G15='Response Guidlines'!$D$87,'Response Guidlines'!$C$87,"No Rating")))))))</f>
        <v>5</v>
      </c>
      <c r="I15" s="401">
        <f>(H15/$H$23)/_xlfn.XLOOKUP('Scoring Summary'!$D$25,'Response Guidlines'!$D$92:$D$191,'Response Guidlines'!$C$92:$C$191,"",0,1)</f>
        <v>1.3888888888888611E-2</v>
      </c>
      <c r="J15" s="52" t="s">
        <v>153</v>
      </c>
      <c r="K15" s="138">
        <f>I15</f>
        <v>1.3888888888888611E-2</v>
      </c>
      <c r="L15" s="435">
        <v>0</v>
      </c>
      <c r="M15" s="484"/>
    </row>
    <row r="16" spans="1:13" s="58" customFormat="1" ht="20" x14ac:dyDescent="0.35">
      <c r="A16" s="405"/>
      <c r="B16" s="407"/>
      <c r="C16" s="404"/>
      <c r="D16" s="488"/>
      <c r="E16" s="490"/>
      <c r="F16" s="486"/>
      <c r="G16" s="481"/>
      <c r="H16" s="418"/>
      <c r="I16" s="401"/>
      <c r="J16" s="52" t="s">
        <v>154</v>
      </c>
      <c r="K16" s="138">
        <f>K15/2</f>
        <v>6.9444444444443053E-3</v>
      </c>
      <c r="L16" s="435"/>
      <c r="M16" s="484"/>
    </row>
    <row r="17" spans="1:15" s="58" customFormat="1" ht="20" x14ac:dyDescent="0.35">
      <c r="A17" s="405"/>
      <c r="B17" s="407"/>
      <c r="C17" s="404"/>
      <c r="D17" s="488"/>
      <c r="E17" s="490"/>
      <c r="F17" s="486"/>
      <c r="G17" s="492"/>
      <c r="H17" s="418"/>
      <c r="I17" s="401"/>
      <c r="J17" s="52" t="s">
        <v>155</v>
      </c>
      <c r="K17" s="138">
        <v>0</v>
      </c>
      <c r="L17" s="435"/>
      <c r="M17" s="484"/>
    </row>
    <row r="18" spans="1:15" s="49" customFormat="1" ht="10" x14ac:dyDescent="0.35">
      <c r="A18" s="405" t="s">
        <v>156</v>
      </c>
      <c r="B18" s="407" t="s">
        <v>157</v>
      </c>
      <c r="C18" s="404" t="s">
        <v>158</v>
      </c>
      <c r="D18" s="488"/>
      <c r="E18" s="490"/>
      <c r="F18" s="486"/>
      <c r="G18" s="480" t="s">
        <v>25</v>
      </c>
      <c r="H18" s="418">
        <f>IF(G18='Response Guidlines'!$D$81,'Response Guidlines'!$C$81, IF(G18='Response Guidlines'!$D$82,'Response Guidlines'!$C$82,IF(G18='Response Guidlines'!$D$83,'Response Guidlines'!$C$83,IF(G18='Response Guidlines'!$D$84,'Response Guidlines'!$C$84,IF(G18='Response Guidlines'!$D$85,'Response Guidlines'!$C$85,IF(G18='Response Guidlines'!$D$86,'Response Guidlines'!$C$86,IF(G18='Response Guidlines'!$D$87,'Response Guidlines'!$C$87,"No Rating")))))))</f>
        <v>2</v>
      </c>
      <c r="I18" s="401">
        <f>(H18/$H$23)/_xlfn.XLOOKUP('Scoring Summary'!$D$25,'Response Guidlines'!$D$92:$D$191,'Response Guidlines'!$C$92:$C$191,"",0,1)</f>
        <v>5.5555555555554439E-3</v>
      </c>
      <c r="J18" s="52" t="s">
        <v>159</v>
      </c>
      <c r="K18" s="138">
        <f>I18</f>
        <v>5.5555555555554439E-3</v>
      </c>
      <c r="L18" s="435">
        <v>0</v>
      </c>
      <c r="M18" s="484"/>
    </row>
    <row r="19" spans="1:15" s="49" customFormat="1" ht="20" x14ac:dyDescent="0.35">
      <c r="A19" s="405"/>
      <c r="B19" s="407"/>
      <c r="C19" s="404"/>
      <c r="D19" s="488"/>
      <c r="E19" s="490"/>
      <c r="F19" s="486"/>
      <c r="G19" s="492"/>
      <c r="H19" s="418"/>
      <c r="I19" s="401"/>
      <c r="J19" s="52" t="s">
        <v>160</v>
      </c>
      <c r="K19" s="138">
        <v>0</v>
      </c>
      <c r="L19" s="435"/>
      <c r="M19" s="484"/>
    </row>
    <row r="20" spans="1:15" s="49" customFormat="1" ht="31.5" x14ac:dyDescent="0.35">
      <c r="A20" s="405" t="s">
        <v>161</v>
      </c>
      <c r="B20" s="407" t="s">
        <v>162</v>
      </c>
      <c r="C20" s="404" t="s">
        <v>163</v>
      </c>
      <c r="D20" s="488"/>
      <c r="E20" s="490"/>
      <c r="F20" s="486"/>
      <c r="G20" s="480" t="s">
        <v>28</v>
      </c>
      <c r="H20" s="418">
        <f>IF(G20='Response Guidlines'!$D$81,'Response Guidlines'!$C$81, IF(G20='Response Guidlines'!$D$82,'Response Guidlines'!$C$82,IF(G20='Response Guidlines'!$D$83,'Response Guidlines'!$C$83,IF(G20='Response Guidlines'!$D$84,'Response Guidlines'!$C$84,IF(G20='Response Guidlines'!$D$85,'Response Guidlines'!$C$85,IF(G20='Response Guidlines'!$D$86,'Response Guidlines'!$C$86,IF(G20='Response Guidlines'!$D$87,'Response Guidlines'!$C$87,"No Rating")))))))</f>
        <v>5</v>
      </c>
      <c r="I20" s="401">
        <f>(H20/$H$23)/_xlfn.XLOOKUP('Scoring Summary'!$D$25,'Response Guidlines'!$D$92:$D$191,'Response Guidlines'!$C$92:$C$191,"",0,1)</f>
        <v>1.3888888888888611E-2</v>
      </c>
      <c r="J20" s="200" t="s">
        <v>164</v>
      </c>
      <c r="K20" s="138"/>
      <c r="L20" s="435"/>
      <c r="M20" s="484"/>
    </row>
    <row r="21" spans="1:15" s="49" customFormat="1" ht="30" x14ac:dyDescent="0.35">
      <c r="A21" s="405"/>
      <c r="B21" s="407"/>
      <c r="C21" s="404"/>
      <c r="D21" s="488"/>
      <c r="E21" s="490"/>
      <c r="F21" s="486"/>
      <c r="G21" s="481"/>
      <c r="H21" s="418"/>
      <c r="I21" s="401"/>
      <c r="J21" s="52" t="s">
        <v>165</v>
      </c>
      <c r="K21" s="138">
        <f>I20/2</f>
        <v>6.9444444444443053E-3</v>
      </c>
      <c r="L21" s="435"/>
      <c r="M21" s="484"/>
      <c r="O21" s="208">
        <f>K21</f>
        <v>6.9444444444443053E-3</v>
      </c>
    </row>
    <row r="22" spans="1:15" s="49" customFormat="1" ht="30.5" thickBot="1" x14ac:dyDescent="0.4">
      <c r="A22" s="406"/>
      <c r="B22" s="408"/>
      <c r="C22" s="423"/>
      <c r="D22" s="489"/>
      <c r="E22" s="491"/>
      <c r="F22" s="487"/>
      <c r="G22" s="482"/>
      <c r="H22" s="419"/>
      <c r="I22" s="421"/>
      <c r="J22" s="268" t="s">
        <v>166</v>
      </c>
      <c r="K22" s="277">
        <f>I20/2</f>
        <v>6.9444444444443053E-3</v>
      </c>
      <c r="L22" s="483"/>
      <c r="M22" s="485"/>
      <c r="O22" s="208">
        <f>O21+K22</f>
        <v>1.3888888888888611E-2</v>
      </c>
    </row>
    <row r="23" spans="1:15" s="49" customFormat="1" ht="16.149999999999999" customHeight="1" thickBot="1" x14ac:dyDescent="0.4">
      <c r="A23" s="144"/>
      <c r="B23" s="82" t="s">
        <v>138</v>
      </c>
      <c r="C23" s="82"/>
      <c r="D23" s="82"/>
      <c r="E23" s="82"/>
      <c r="F23" s="82"/>
      <c r="G23" s="82"/>
      <c r="H23" s="145">
        <f>SUM(H12:H22)</f>
        <v>18</v>
      </c>
      <c r="I23" s="84">
        <f>SUM(I12:I22)</f>
        <v>4.9999999999998997E-2</v>
      </c>
      <c r="J23" s="478" t="s">
        <v>139</v>
      </c>
      <c r="K23" s="479"/>
      <c r="L23" s="232">
        <f>SUM(L12:L22)</f>
        <v>0</v>
      </c>
      <c r="M23" s="81"/>
    </row>
    <row r="25" spans="1:15" x14ac:dyDescent="0.25">
      <c r="I25" s="17">
        <f>5/18*0.05</f>
        <v>1.388888888888889E-2</v>
      </c>
    </row>
  </sheetData>
  <mergeCells count="51">
    <mergeCell ref="J9:M9"/>
    <mergeCell ref="E2:G2"/>
    <mergeCell ref="A10:A11"/>
    <mergeCell ref="B10:C10"/>
    <mergeCell ref="D10:F10"/>
    <mergeCell ref="A12:A14"/>
    <mergeCell ref="B12:B14"/>
    <mergeCell ref="C12:C14"/>
    <mergeCell ref="D12:D14"/>
    <mergeCell ref="E12:E14"/>
    <mergeCell ref="F12:F14"/>
    <mergeCell ref="G12:G14"/>
    <mergeCell ref="D8:F9"/>
    <mergeCell ref="F15:F17"/>
    <mergeCell ref="G15:G17"/>
    <mergeCell ref="A15:A17"/>
    <mergeCell ref="B15:B17"/>
    <mergeCell ref="C15:C17"/>
    <mergeCell ref="D15:D17"/>
    <mergeCell ref="E15:E17"/>
    <mergeCell ref="H12:H14"/>
    <mergeCell ref="I12:I14"/>
    <mergeCell ref="L12:L14"/>
    <mergeCell ref="M12:M14"/>
    <mergeCell ref="M18:M19"/>
    <mergeCell ref="H15:H17"/>
    <mergeCell ref="I15:I17"/>
    <mergeCell ref="L15:L17"/>
    <mergeCell ref="M15:M17"/>
    <mergeCell ref="A18:A19"/>
    <mergeCell ref="B18:B19"/>
    <mergeCell ref="C18:C19"/>
    <mergeCell ref="D18:D19"/>
    <mergeCell ref="E18:E19"/>
    <mergeCell ref="F18:F19"/>
    <mergeCell ref="G18:G19"/>
    <mergeCell ref="H18:H19"/>
    <mergeCell ref="I18:I19"/>
    <mergeCell ref="L18:L19"/>
    <mergeCell ref="M20:M22"/>
    <mergeCell ref="F20:F22"/>
    <mergeCell ref="A20:A22"/>
    <mergeCell ref="B20:B22"/>
    <mergeCell ref="C20:C22"/>
    <mergeCell ref="D20:D22"/>
    <mergeCell ref="E20:E22"/>
    <mergeCell ref="J23:K23"/>
    <mergeCell ref="G20:G22"/>
    <mergeCell ref="H20:H22"/>
    <mergeCell ref="I20:I22"/>
    <mergeCell ref="L20:L22"/>
  </mergeCells>
  <phoneticPr fontId="34" type="noConversion"/>
  <dataValidations count="7">
    <dataValidation type="list" allowBlank="1" showInputMessage="1" showErrorMessage="1" sqref="D12:D14" xr:uid="{B1125FBA-161D-4796-B361-EAAC34CBB801}">
      <formula1>$J$12:$J$14</formula1>
    </dataValidation>
    <dataValidation type="list" allowBlank="1" showInputMessage="1" showErrorMessage="1" sqref="D15:D17" xr:uid="{7156AFDD-1366-4185-A563-81791905E376}">
      <formula1>$J$15:$J$17</formula1>
    </dataValidation>
    <dataValidation type="list" allowBlank="1" showInputMessage="1" showErrorMessage="1" sqref="L12:L14" xr:uid="{FA9F27F0-0432-4710-8F53-B96EC484A7DD}">
      <formula1>$K$12:$K$14</formula1>
    </dataValidation>
    <dataValidation type="list" allowBlank="1" showInputMessage="1" showErrorMessage="1" sqref="L15:L17" xr:uid="{5DEEE2C1-9331-4DFD-8483-9452AFC46720}">
      <formula1>$K$15:$K$17</formula1>
    </dataValidation>
    <dataValidation type="list" allowBlank="1" showInputMessage="1" showErrorMessage="1" sqref="L18:L19" xr:uid="{8C51BEED-0725-4389-9433-A6C49739B2C7}">
      <formula1>$K$18:$K$19</formula1>
    </dataValidation>
    <dataValidation type="list" allowBlank="1" showInputMessage="1" showErrorMessage="1" sqref="D18:D19" xr:uid="{6BC74BB3-C4C4-458B-97DD-D0F65270DE9F}">
      <formula1>$J$18:$J$19</formula1>
    </dataValidation>
    <dataValidation type="list" allowBlank="1" showInputMessage="1" showErrorMessage="1" sqref="L20:L22" xr:uid="{8D981B0C-D1C5-40E1-B92D-B96D3CC28634}">
      <formula1>$O$21:$O$22</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9E9CFDBC-A1EB-4255-B33C-6A08B53AAD12}">
          <x14:formula1>
            <xm:f>'Response Guidlines'!$D$81:$D$87</xm:f>
          </x14:formula1>
          <xm:sqref>G12:G22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4276A-FCF1-4F53-A083-351B022F6550}">
  <sheetPr>
    <tabColor rgb="FF003896"/>
    <pageSetUpPr fitToPage="1"/>
  </sheetPr>
  <dimension ref="A1:N78"/>
  <sheetViews>
    <sheetView zoomScaleNormal="100" workbookViewId="0">
      <selection activeCell="F12" sqref="F12:F14"/>
    </sheetView>
  </sheetViews>
  <sheetFormatPr defaultColWidth="9.26953125" defaultRowHeight="10.5" x14ac:dyDescent="0.25"/>
  <cols>
    <col min="1" max="1" width="9.453125" style="19" customWidth="1"/>
    <col min="2" max="2" width="12.26953125" style="19" customWidth="1"/>
    <col min="3" max="3" width="50" style="18" customWidth="1"/>
    <col min="4" max="4" width="51.26953125" style="18" bestFit="1" customWidth="1"/>
    <col min="5" max="5" width="15" style="18" customWidth="1"/>
    <col min="6" max="6" width="32.26953125" style="18" customWidth="1"/>
    <col min="7" max="7" width="31" style="18" bestFit="1" customWidth="1"/>
    <col min="8" max="8" width="11.7265625" style="18" bestFit="1" customWidth="1"/>
    <col min="9" max="9" width="8.7265625" style="18" bestFit="1" customWidth="1"/>
    <col min="10" max="10" width="13.7265625" style="17" bestFit="1" customWidth="1"/>
    <col min="11" max="11" width="45" style="16" bestFit="1" customWidth="1"/>
    <col min="12" max="12" width="5.26953125" style="15" customWidth="1"/>
    <col min="13" max="13" width="5.453125" style="13" customWidth="1"/>
    <col min="14" max="14" width="40.453125" style="14" customWidth="1"/>
    <col min="15" max="15" width="8.54296875" style="13" customWidth="1"/>
    <col min="16" max="16384" width="9.26953125" style="13"/>
  </cols>
  <sheetData>
    <row r="1" spans="1:14" x14ac:dyDescent="0.25">
      <c r="C1" s="76"/>
      <c r="D1" s="76"/>
      <c r="E1" s="76"/>
      <c r="F1" s="76"/>
      <c r="G1" s="76"/>
      <c r="H1" s="76"/>
      <c r="I1" s="76"/>
    </row>
    <row r="2" spans="1:14" ht="15.5" x14ac:dyDescent="0.35">
      <c r="C2" s="11" t="s">
        <v>51</v>
      </c>
      <c r="D2" s="12" t="str">
        <f>'Scoring Summary'!C2</f>
        <v>&lt;insert before tender publication&gt;</v>
      </c>
      <c r="E2" s="46"/>
      <c r="F2" s="390" t="s">
        <v>140</v>
      </c>
      <c r="G2" s="390"/>
      <c r="H2" s="390"/>
      <c r="I2" s="75"/>
      <c r="J2" s="75"/>
      <c r="K2" s="46"/>
      <c r="L2" s="46"/>
      <c r="M2" s="46"/>
      <c r="N2" s="46"/>
    </row>
    <row r="3" spans="1:14" ht="15.5" x14ac:dyDescent="0.35">
      <c r="C3" s="11" t="s">
        <v>54</v>
      </c>
      <c r="D3" s="12" t="str">
        <f>'Scoring Summary'!C3</f>
        <v>IT00641 Dx Commercial Energy Trader (Dx CET)</v>
      </c>
      <c r="E3" s="46"/>
      <c r="F3" s="83" t="s">
        <v>141</v>
      </c>
      <c r="G3" s="146" t="s">
        <v>167</v>
      </c>
      <c r="H3" s="75"/>
      <c r="I3" s="46"/>
      <c r="J3" s="46"/>
      <c r="K3" s="46"/>
      <c r="L3" s="46"/>
      <c r="M3" s="46"/>
      <c r="N3" s="46"/>
    </row>
    <row r="4" spans="1:14" ht="15.5" x14ac:dyDescent="0.35">
      <c r="C4" s="11" t="s">
        <v>55</v>
      </c>
      <c r="D4" s="346">
        <f>'Scoring Summary'!C4</f>
        <v>0.7</v>
      </c>
      <c r="E4" s="46"/>
      <c r="F4" s="75"/>
      <c r="G4" s="75"/>
      <c r="H4" s="75"/>
      <c r="I4" s="46"/>
      <c r="J4" s="46"/>
      <c r="K4" s="46"/>
      <c r="L4" s="46"/>
      <c r="M4" s="46"/>
      <c r="N4" s="46"/>
    </row>
    <row r="5" spans="1:14" ht="15.5" x14ac:dyDescent="0.35">
      <c r="C5" s="11" t="s">
        <v>84</v>
      </c>
      <c r="D5" s="10" t="str">
        <f>'Scoring Summary'!C5</f>
        <v>&lt;Evaluator to complete&gt;</v>
      </c>
      <c r="E5" s="46"/>
      <c r="F5" s="75"/>
      <c r="G5" s="75"/>
      <c r="H5" s="75"/>
      <c r="I5" s="46"/>
      <c r="J5" s="46"/>
      <c r="K5" s="46"/>
      <c r="L5" s="46"/>
      <c r="M5" s="46"/>
      <c r="N5" s="46"/>
    </row>
    <row r="6" spans="1:14" ht="15.5" x14ac:dyDescent="0.35">
      <c r="C6" s="11" t="s">
        <v>58</v>
      </c>
      <c r="D6" s="10" t="str">
        <f>'Scoring Summary'!C6</f>
        <v>&lt;Evaluator to complete&gt;</v>
      </c>
      <c r="E6" s="46"/>
      <c r="F6" s="46"/>
      <c r="G6" s="46"/>
      <c r="H6" s="46"/>
      <c r="I6" s="307"/>
      <c r="J6" s="46"/>
      <c r="K6" s="307"/>
      <c r="L6" s="46"/>
      <c r="M6" s="46"/>
      <c r="N6" s="46"/>
    </row>
    <row r="7" spans="1:14" ht="15.5" x14ac:dyDescent="0.35">
      <c r="C7" s="11" t="s">
        <v>59</v>
      </c>
      <c r="D7" s="10" t="str">
        <f>'Scoring Summary'!C7</f>
        <v>&lt;Evaluator to complete&gt;</v>
      </c>
      <c r="E7" s="46"/>
      <c r="F7" s="46"/>
      <c r="G7" s="46"/>
      <c r="H7" s="46"/>
      <c r="I7" s="46"/>
      <c r="J7" s="46"/>
      <c r="K7" s="46"/>
      <c r="L7" s="46"/>
      <c r="M7" s="46"/>
      <c r="N7" s="46"/>
    </row>
    <row r="8" spans="1:14" ht="15.75" customHeight="1" x14ac:dyDescent="0.3">
      <c r="C8" s="11" t="s">
        <v>60</v>
      </c>
      <c r="D8" s="10"/>
      <c r="E8" s="466" t="s">
        <v>1277</v>
      </c>
      <c r="F8" s="467"/>
      <c r="G8" s="468"/>
      <c r="H8" s="318"/>
      <c r="I8" s="318"/>
      <c r="J8" s="318"/>
      <c r="K8" s="318"/>
      <c r="L8" s="318"/>
      <c r="M8" s="318"/>
      <c r="N8" s="318"/>
    </row>
    <row r="9" spans="1:14" ht="16.5" customHeight="1" thickBot="1" x14ac:dyDescent="0.35">
      <c r="C9" s="30"/>
      <c r="D9" s="30"/>
      <c r="E9" s="469"/>
      <c r="F9" s="470"/>
      <c r="G9" s="471"/>
      <c r="H9" s="319"/>
      <c r="I9" s="319"/>
      <c r="J9" s="320"/>
      <c r="K9" s="472" t="s">
        <v>1276</v>
      </c>
      <c r="L9" s="472"/>
      <c r="M9" s="472"/>
      <c r="N9" s="472"/>
    </row>
    <row r="10" spans="1:14" x14ac:dyDescent="0.2">
      <c r="A10" s="447" t="s">
        <v>85</v>
      </c>
      <c r="B10" s="527" t="s">
        <v>86</v>
      </c>
      <c r="C10" s="503"/>
      <c r="D10" s="528"/>
      <c r="E10" s="504" t="s">
        <v>87</v>
      </c>
      <c r="F10" s="505"/>
      <c r="G10" s="506"/>
      <c r="H10" s="74"/>
      <c r="I10" s="74"/>
      <c r="J10" s="73" t="s">
        <v>88</v>
      </c>
      <c r="K10" s="72"/>
      <c r="L10" s="72"/>
      <c r="M10" s="72"/>
      <c r="N10" s="71"/>
    </row>
    <row r="11" spans="1:14" s="49" customFormat="1" ht="58.15" customHeight="1" thickBot="1" x14ac:dyDescent="0.4">
      <c r="A11" s="448"/>
      <c r="B11" s="149" t="s">
        <v>168</v>
      </c>
      <c r="C11" s="103" t="s">
        <v>89</v>
      </c>
      <c r="D11" s="69" t="s">
        <v>62</v>
      </c>
      <c r="E11" s="68" t="s">
        <v>90</v>
      </c>
      <c r="F11" s="67" t="s">
        <v>64</v>
      </c>
      <c r="G11" s="66" t="s">
        <v>91</v>
      </c>
      <c r="H11" s="150" t="s">
        <v>92</v>
      </c>
      <c r="I11" s="64" t="s">
        <v>93</v>
      </c>
      <c r="J11" s="63" t="s">
        <v>94</v>
      </c>
      <c r="K11" s="62" t="s">
        <v>95</v>
      </c>
      <c r="L11" s="61" t="s">
        <v>96</v>
      </c>
      <c r="M11" s="60" t="s">
        <v>67</v>
      </c>
      <c r="N11" s="59" t="s">
        <v>68</v>
      </c>
    </row>
    <row r="12" spans="1:14" s="49" customFormat="1" x14ac:dyDescent="0.35">
      <c r="A12" s="510" t="s">
        <v>169</v>
      </c>
      <c r="B12" s="508" t="s">
        <v>170</v>
      </c>
      <c r="C12" s="455" t="s">
        <v>171</v>
      </c>
      <c r="D12" s="477" t="s">
        <v>172</v>
      </c>
      <c r="E12" s="514"/>
      <c r="F12" s="444" t="s">
        <v>173</v>
      </c>
      <c r="G12" s="524"/>
      <c r="H12" s="492" t="s">
        <v>28</v>
      </c>
      <c r="I12" s="432">
        <f>IF(H12='Response Guidlines'!$D$81,'Response Guidlines'!$C$81, IF(H12='Response Guidlines'!$D$82,'Response Guidlines'!$C$82,IF(H12='Response Guidlines'!$D$83,'Response Guidlines'!$C$83,IF(H12='Response Guidlines'!$D$84,'Response Guidlines'!$C$84,IF(H12='Response Guidlines'!$D$85,'Response Guidlines'!$C$85,IF(H12='Response Guidlines'!$D$86,'Response Guidlines'!$C$86,IF(H12='Response Guidlines'!$D$87,'Response Guidlines'!$C$87,"No Rating")))))))</f>
        <v>5</v>
      </c>
      <c r="J12" s="420">
        <f>(I12/$I$78)/_xlfn.XLOOKUP('Scoring Summary'!$D$19,'Response Guidlines'!$D$92:$D$191,'Response Guidlines'!$C$92:$C$191,"",0,1)</f>
        <v>1.2820512820512756E-2</v>
      </c>
      <c r="K12" s="56" t="s">
        <v>127</v>
      </c>
      <c r="L12" s="136">
        <f>J12</f>
        <v>1.2820512820512756E-2</v>
      </c>
      <c r="M12" s="436">
        <v>0</v>
      </c>
      <c r="N12" s="404"/>
    </row>
    <row r="13" spans="1:14" s="49" customFormat="1" ht="20.5" x14ac:dyDescent="0.35">
      <c r="A13" s="510"/>
      <c r="B13" s="508"/>
      <c r="C13" s="407"/>
      <c r="D13" s="404"/>
      <c r="E13" s="515"/>
      <c r="F13" s="444"/>
      <c r="G13" s="525"/>
      <c r="H13" s="521"/>
      <c r="I13" s="433"/>
      <c r="J13" s="401"/>
      <c r="K13" s="52" t="s">
        <v>128</v>
      </c>
      <c r="L13" s="138">
        <f>L12*0.5</f>
        <v>6.4102564102563779E-3</v>
      </c>
      <c r="M13" s="522"/>
      <c r="N13" s="404"/>
    </row>
    <row r="14" spans="1:14" s="49" customFormat="1" ht="119.25" customHeight="1" x14ac:dyDescent="0.35">
      <c r="A14" s="511"/>
      <c r="B14" s="509"/>
      <c r="C14" s="407"/>
      <c r="D14" s="404"/>
      <c r="E14" s="516"/>
      <c r="F14" s="445"/>
      <c r="G14" s="526"/>
      <c r="H14" s="521"/>
      <c r="I14" s="433"/>
      <c r="J14" s="401"/>
      <c r="K14" s="52" t="s">
        <v>129</v>
      </c>
      <c r="L14" s="138">
        <v>0</v>
      </c>
      <c r="M14" s="523"/>
      <c r="N14" s="404"/>
    </row>
    <row r="15" spans="1:14" s="49" customFormat="1" ht="22.5" customHeight="1" x14ac:dyDescent="0.35">
      <c r="A15" s="510" t="s">
        <v>174</v>
      </c>
      <c r="B15" s="508" t="s">
        <v>170</v>
      </c>
      <c r="C15" s="407" t="s">
        <v>175</v>
      </c>
      <c r="D15" s="404" t="s">
        <v>172</v>
      </c>
      <c r="E15" s="514"/>
      <c r="F15" s="446"/>
      <c r="G15" s="524"/>
      <c r="H15" s="521" t="s">
        <v>28</v>
      </c>
      <c r="I15" s="432">
        <f>IF(H15='Response Guidlines'!$D$81,'Response Guidlines'!$C$81, IF(H15='Response Guidlines'!$D$82,'Response Guidlines'!$C$82,IF(H15='Response Guidlines'!$D$83,'Response Guidlines'!$C$83,IF(H15='Response Guidlines'!$D$84,'Response Guidlines'!$C$84,IF(H15='Response Guidlines'!$D$85,'Response Guidlines'!$C$85,IF(H15='Response Guidlines'!$D$86,'Response Guidlines'!$C$86,IF(H15='Response Guidlines'!$D$87,'Response Guidlines'!$C$87,"No Rating")))))))</f>
        <v>5</v>
      </c>
      <c r="J15" s="420">
        <f>(I15/$I$78)/_xlfn.XLOOKUP('Scoring Summary'!$D$19,'Response Guidlines'!$D$92:$D$191,'Response Guidlines'!$C$92:$C$191,"",0,1)</f>
        <v>1.2820512820512756E-2</v>
      </c>
      <c r="K15" s="56" t="s">
        <v>127</v>
      </c>
      <c r="L15" s="136">
        <f t="shared" ref="L15" si="0">J15</f>
        <v>1.2820512820512756E-2</v>
      </c>
      <c r="M15" s="436">
        <v>0</v>
      </c>
      <c r="N15" s="404"/>
    </row>
    <row r="16" spans="1:14" s="49" customFormat="1" ht="20.5" x14ac:dyDescent="0.35">
      <c r="A16" s="510"/>
      <c r="B16" s="508"/>
      <c r="C16" s="407"/>
      <c r="D16" s="404"/>
      <c r="E16" s="515"/>
      <c r="F16" s="444"/>
      <c r="G16" s="525"/>
      <c r="H16" s="521"/>
      <c r="I16" s="433"/>
      <c r="J16" s="401"/>
      <c r="K16" s="52" t="s">
        <v>128</v>
      </c>
      <c r="L16" s="138">
        <f>L15*0.5</f>
        <v>6.4102564102563779E-3</v>
      </c>
      <c r="M16" s="522"/>
      <c r="N16" s="404"/>
    </row>
    <row r="17" spans="1:14" s="49" customFormat="1" ht="93" customHeight="1" x14ac:dyDescent="0.35">
      <c r="A17" s="511"/>
      <c r="B17" s="509"/>
      <c r="C17" s="407"/>
      <c r="D17" s="404"/>
      <c r="E17" s="516"/>
      <c r="F17" s="445"/>
      <c r="G17" s="526"/>
      <c r="H17" s="521"/>
      <c r="I17" s="433"/>
      <c r="J17" s="401"/>
      <c r="K17" s="52" t="s">
        <v>129</v>
      </c>
      <c r="L17" s="138">
        <v>0</v>
      </c>
      <c r="M17" s="523"/>
      <c r="N17" s="404"/>
    </row>
    <row r="18" spans="1:14" s="49" customFormat="1" ht="22.5" customHeight="1" x14ac:dyDescent="0.35">
      <c r="A18" s="510" t="s">
        <v>176</v>
      </c>
      <c r="B18" s="508" t="s">
        <v>170</v>
      </c>
      <c r="C18" s="407" t="s">
        <v>177</v>
      </c>
      <c r="D18" s="404" t="s">
        <v>172</v>
      </c>
      <c r="E18" s="514"/>
      <c r="F18" s="446"/>
      <c r="G18" s="524"/>
      <c r="H18" s="521" t="s">
        <v>28</v>
      </c>
      <c r="I18" s="432">
        <f>IF(H18='Response Guidlines'!$D$81,'Response Guidlines'!$C$81, IF(H18='Response Guidlines'!$D$82,'Response Guidlines'!$C$82,IF(H18='Response Guidlines'!$D$83,'Response Guidlines'!$C$83,IF(H18='Response Guidlines'!$D$84,'Response Guidlines'!$C$84,IF(H18='Response Guidlines'!$D$85,'Response Guidlines'!$C$85,IF(H18='Response Guidlines'!$D$86,'Response Guidlines'!$C$86,IF(H18='Response Guidlines'!$D$87,'Response Guidlines'!$C$87,"No Rating")))))))</f>
        <v>5</v>
      </c>
      <c r="J18" s="420">
        <f>(I18/$I$78)/_xlfn.XLOOKUP('Scoring Summary'!$D$19,'Response Guidlines'!$D$92:$D$191,'Response Guidlines'!$C$92:$C$191,"",0,1)</f>
        <v>1.2820512820512756E-2</v>
      </c>
      <c r="K18" s="56" t="s">
        <v>127</v>
      </c>
      <c r="L18" s="136">
        <f>J18</f>
        <v>1.2820512820512756E-2</v>
      </c>
      <c r="M18" s="436">
        <v>0</v>
      </c>
      <c r="N18" s="404"/>
    </row>
    <row r="19" spans="1:14" s="49" customFormat="1" ht="20.5" x14ac:dyDescent="0.35">
      <c r="A19" s="510"/>
      <c r="B19" s="508"/>
      <c r="C19" s="407"/>
      <c r="D19" s="404"/>
      <c r="E19" s="515"/>
      <c r="F19" s="444"/>
      <c r="G19" s="525"/>
      <c r="H19" s="521"/>
      <c r="I19" s="433"/>
      <c r="J19" s="401"/>
      <c r="K19" s="52" t="s">
        <v>128</v>
      </c>
      <c r="L19" s="138">
        <f>L18*0.5</f>
        <v>6.4102564102563779E-3</v>
      </c>
      <c r="M19" s="522"/>
      <c r="N19" s="404"/>
    </row>
    <row r="20" spans="1:14" s="49" customFormat="1" ht="96" customHeight="1" x14ac:dyDescent="0.35">
      <c r="A20" s="511"/>
      <c r="B20" s="509"/>
      <c r="C20" s="407"/>
      <c r="D20" s="404"/>
      <c r="E20" s="516"/>
      <c r="F20" s="445"/>
      <c r="G20" s="526"/>
      <c r="H20" s="521"/>
      <c r="I20" s="433"/>
      <c r="J20" s="401"/>
      <c r="K20" s="52" t="s">
        <v>129</v>
      </c>
      <c r="L20" s="138">
        <v>0</v>
      </c>
      <c r="M20" s="523"/>
      <c r="N20" s="404"/>
    </row>
    <row r="21" spans="1:14" s="49" customFormat="1" ht="22.5" customHeight="1" x14ac:dyDescent="0.35">
      <c r="A21" s="510" t="s">
        <v>178</v>
      </c>
      <c r="B21" s="508" t="s">
        <v>170</v>
      </c>
      <c r="C21" s="407" t="s">
        <v>179</v>
      </c>
      <c r="D21" s="404" t="s">
        <v>172</v>
      </c>
      <c r="E21" s="514"/>
      <c r="F21" s="446"/>
      <c r="G21" s="524"/>
      <c r="H21" s="521" t="s">
        <v>25</v>
      </c>
      <c r="I21" s="432">
        <f>IF(H21='Response Guidlines'!$D$81,'Response Guidlines'!$C$81, IF(H21='Response Guidlines'!$D$82,'Response Guidlines'!$C$82,IF(H21='Response Guidlines'!$D$83,'Response Guidlines'!$C$83,IF(H21='Response Guidlines'!$D$84,'Response Guidlines'!$C$84,IF(H21='Response Guidlines'!$D$85,'Response Guidlines'!$C$85,IF(H21='Response Guidlines'!$D$86,'Response Guidlines'!$C$86,IF(H21='Response Guidlines'!$D$87,'Response Guidlines'!$C$87,"No Rating")))))))</f>
        <v>2</v>
      </c>
      <c r="J21" s="420">
        <f>(I21/$I$78)/_xlfn.XLOOKUP('Scoring Summary'!$D$19,'Response Guidlines'!$D$92:$D$191,'Response Guidlines'!$C$92:$C$191,"",0,1)</f>
        <v>5.1282051282051022E-3</v>
      </c>
      <c r="K21" s="56" t="s">
        <v>127</v>
      </c>
      <c r="L21" s="136">
        <f t="shared" ref="L21" si="1">J21</f>
        <v>5.1282051282051022E-3</v>
      </c>
      <c r="M21" s="436">
        <v>0</v>
      </c>
      <c r="N21" s="404"/>
    </row>
    <row r="22" spans="1:14" s="49" customFormat="1" ht="20.5" x14ac:dyDescent="0.35">
      <c r="A22" s="510"/>
      <c r="B22" s="508"/>
      <c r="C22" s="407"/>
      <c r="D22" s="404"/>
      <c r="E22" s="515"/>
      <c r="F22" s="444"/>
      <c r="G22" s="525"/>
      <c r="H22" s="521"/>
      <c r="I22" s="433"/>
      <c r="J22" s="401"/>
      <c r="K22" s="52" t="s">
        <v>128</v>
      </c>
      <c r="L22" s="138">
        <f>L21*0.5</f>
        <v>2.5641025641025511E-3</v>
      </c>
      <c r="M22" s="522"/>
      <c r="N22" s="404"/>
    </row>
    <row r="23" spans="1:14" s="49" customFormat="1" ht="96" customHeight="1" x14ac:dyDescent="0.35">
      <c r="A23" s="511"/>
      <c r="B23" s="509"/>
      <c r="C23" s="407"/>
      <c r="D23" s="404"/>
      <c r="E23" s="516"/>
      <c r="F23" s="445"/>
      <c r="G23" s="526"/>
      <c r="H23" s="521"/>
      <c r="I23" s="433"/>
      <c r="J23" s="401"/>
      <c r="K23" s="52" t="s">
        <v>129</v>
      </c>
      <c r="L23" s="138">
        <v>0</v>
      </c>
      <c r="M23" s="523"/>
      <c r="N23" s="404"/>
    </row>
    <row r="24" spans="1:14" s="49" customFormat="1" ht="22.5" customHeight="1" x14ac:dyDescent="0.35">
      <c r="A24" s="510" t="s">
        <v>180</v>
      </c>
      <c r="B24" s="508" t="s">
        <v>181</v>
      </c>
      <c r="C24" s="407" t="s">
        <v>182</v>
      </c>
      <c r="D24" s="404" t="s">
        <v>172</v>
      </c>
      <c r="E24" s="514"/>
      <c r="F24" s="446"/>
      <c r="G24" s="524"/>
      <c r="H24" s="521" t="s">
        <v>27</v>
      </c>
      <c r="I24" s="432">
        <f>IF(H24='Response Guidlines'!$D$81,'Response Guidlines'!$C$81, IF(H24='Response Guidlines'!$D$82,'Response Guidlines'!$C$82,IF(H24='Response Guidlines'!$D$83,'Response Guidlines'!$C$83,IF(H24='Response Guidlines'!$D$84,'Response Guidlines'!$C$84,IF(H24='Response Guidlines'!$D$85,'Response Guidlines'!$C$85,IF(H24='Response Guidlines'!$D$86,'Response Guidlines'!$C$86,IF(H24='Response Guidlines'!$D$87,'Response Guidlines'!$C$87,"No Rating")))))))</f>
        <v>4</v>
      </c>
      <c r="J24" s="420">
        <f>(I24/$I$78)/_xlfn.XLOOKUP('Scoring Summary'!$D$19,'Response Guidlines'!$D$92:$D$191,'Response Guidlines'!$C$92:$C$191,"",0,1)</f>
        <v>1.0256410256410204E-2</v>
      </c>
      <c r="K24" s="56" t="s">
        <v>127</v>
      </c>
      <c r="L24" s="136">
        <f t="shared" ref="L24" si="2">J24</f>
        <v>1.0256410256410204E-2</v>
      </c>
      <c r="M24" s="436">
        <v>0</v>
      </c>
      <c r="N24" s="404"/>
    </row>
    <row r="25" spans="1:14" s="49" customFormat="1" ht="20.5" x14ac:dyDescent="0.35">
      <c r="A25" s="510"/>
      <c r="B25" s="508"/>
      <c r="C25" s="407"/>
      <c r="D25" s="404"/>
      <c r="E25" s="515"/>
      <c r="F25" s="444"/>
      <c r="G25" s="525"/>
      <c r="H25" s="521"/>
      <c r="I25" s="433"/>
      <c r="J25" s="401"/>
      <c r="K25" s="52" t="s">
        <v>128</v>
      </c>
      <c r="L25" s="138">
        <f>L24*0.5</f>
        <v>5.1282051282051022E-3</v>
      </c>
      <c r="M25" s="522"/>
      <c r="N25" s="404"/>
    </row>
    <row r="26" spans="1:14" s="49" customFormat="1" ht="96.75" customHeight="1" x14ac:dyDescent="0.35">
      <c r="A26" s="511"/>
      <c r="B26" s="509"/>
      <c r="C26" s="407"/>
      <c r="D26" s="404"/>
      <c r="E26" s="516"/>
      <c r="F26" s="445"/>
      <c r="G26" s="526"/>
      <c r="H26" s="521"/>
      <c r="I26" s="433"/>
      <c r="J26" s="401"/>
      <c r="K26" s="52" t="s">
        <v>129</v>
      </c>
      <c r="L26" s="138">
        <v>0</v>
      </c>
      <c r="M26" s="523"/>
      <c r="N26" s="404"/>
    </row>
    <row r="27" spans="1:14" s="49" customFormat="1" ht="22.5" customHeight="1" x14ac:dyDescent="0.35">
      <c r="A27" s="510" t="s">
        <v>183</v>
      </c>
      <c r="B27" s="508" t="s">
        <v>181</v>
      </c>
      <c r="C27" s="407" t="s">
        <v>184</v>
      </c>
      <c r="D27" s="404" t="s">
        <v>172</v>
      </c>
      <c r="E27" s="514"/>
      <c r="F27" s="446"/>
      <c r="G27" s="524"/>
      <c r="H27" s="521" t="s">
        <v>27</v>
      </c>
      <c r="I27" s="432">
        <f>IF(H27='Response Guidlines'!$D$81,'Response Guidlines'!$C$81, IF(H27='Response Guidlines'!$D$82,'Response Guidlines'!$C$82,IF(H27='Response Guidlines'!$D$83,'Response Guidlines'!$C$83,IF(H27='Response Guidlines'!$D$84,'Response Guidlines'!$C$84,IF(H27='Response Guidlines'!$D$85,'Response Guidlines'!$C$85,IF(H27='Response Guidlines'!$D$86,'Response Guidlines'!$C$86,IF(H27='Response Guidlines'!$D$87,'Response Guidlines'!$C$87,"No Rating")))))))</f>
        <v>4</v>
      </c>
      <c r="J27" s="420">
        <f>(I27/$I$78)/_xlfn.XLOOKUP('Scoring Summary'!$D$19,'Response Guidlines'!$D$92:$D$191,'Response Guidlines'!$C$92:$C$191,"",0,1)</f>
        <v>1.0256410256410204E-2</v>
      </c>
      <c r="K27" s="56" t="s">
        <v>127</v>
      </c>
      <c r="L27" s="136">
        <f t="shared" ref="L27" si="3">J27</f>
        <v>1.0256410256410204E-2</v>
      </c>
      <c r="M27" s="436">
        <v>0</v>
      </c>
      <c r="N27" s="404"/>
    </row>
    <row r="28" spans="1:14" s="49" customFormat="1" ht="20.5" x14ac:dyDescent="0.35">
      <c r="A28" s="510"/>
      <c r="B28" s="508"/>
      <c r="C28" s="407"/>
      <c r="D28" s="404"/>
      <c r="E28" s="515"/>
      <c r="F28" s="444"/>
      <c r="G28" s="525"/>
      <c r="H28" s="521"/>
      <c r="I28" s="433"/>
      <c r="J28" s="401"/>
      <c r="K28" s="52" t="s">
        <v>128</v>
      </c>
      <c r="L28" s="138">
        <f>L27*0.5</f>
        <v>5.1282051282051022E-3</v>
      </c>
      <c r="M28" s="522"/>
      <c r="N28" s="404"/>
    </row>
    <row r="29" spans="1:14" s="49" customFormat="1" ht="93.75" customHeight="1" x14ac:dyDescent="0.35">
      <c r="A29" s="511"/>
      <c r="B29" s="509"/>
      <c r="C29" s="407"/>
      <c r="D29" s="404"/>
      <c r="E29" s="516"/>
      <c r="F29" s="445"/>
      <c r="G29" s="526"/>
      <c r="H29" s="521"/>
      <c r="I29" s="433"/>
      <c r="J29" s="401"/>
      <c r="K29" s="52" t="s">
        <v>129</v>
      </c>
      <c r="L29" s="138">
        <v>0</v>
      </c>
      <c r="M29" s="523"/>
      <c r="N29" s="404"/>
    </row>
    <row r="30" spans="1:14" s="49" customFormat="1" ht="22.5" customHeight="1" x14ac:dyDescent="0.35">
      <c r="A30" s="510" t="s">
        <v>185</v>
      </c>
      <c r="B30" s="507" t="s">
        <v>181</v>
      </c>
      <c r="C30" s="407" t="s">
        <v>186</v>
      </c>
      <c r="D30" s="404" t="s">
        <v>172</v>
      </c>
      <c r="E30" s="514"/>
      <c r="F30" s="446"/>
      <c r="G30" s="524"/>
      <c r="H30" s="521" t="s">
        <v>25</v>
      </c>
      <c r="I30" s="432">
        <f>IF(H30='Response Guidlines'!$D$81,'Response Guidlines'!$C$81, IF(H30='Response Guidlines'!$D$82,'Response Guidlines'!$C$82,IF(H30='Response Guidlines'!$D$83,'Response Guidlines'!$C$83,IF(H30='Response Guidlines'!$D$84,'Response Guidlines'!$C$84,IF(H30='Response Guidlines'!$D$85,'Response Guidlines'!$C$85,IF(H30='Response Guidlines'!$D$86,'Response Guidlines'!$C$86,IF(H30='Response Guidlines'!$D$87,'Response Guidlines'!$C$87,"No Rating")))))))</f>
        <v>2</v>
      </c>
      <c r="J30" s="420">
        <f>(I30/$I$78)/_xlfn.XLOOKUP('Scoring Summary'!$D$19,'Response Guidlines'!$D$92:$D$191,'Response Guidlines'!$C$92:$C$191,"",0,1)</f>
        <v>5.1282051282051022E-3</v>
      </c>
      <c r="K30" s="56" t="s">
        <v>127</v>
      </c>
      <c r="L30" s="136">
        <f t="shared" ref="L30" si="4">J30</f>
        <v>5.1282051282051022E-3</v>
      </c>
      <c r="M30" s="436">
        <v>0</v>
      </c>
      <c r="N30" s="404"/>
    </row>
    <row r="31" spans="1:14" s="49" customFormat="1" ht="20.5" x14ac:dyDescent="0.35">
      <c r="A31" s="510"/>
      <c r="B31" s="508"/>
      <c r="C31" s="407"/>
      <c r="D31" s="404"/>
      <c r="E31" s="515"/>
      <c r="F31" s="444"/>
      <c r="G31" s="525"/>
      <c r="H31" s="521"/>
      <c r="I31" s="433"/>
      <c r="J31" s="401"/>
      <c r="K31" s="52" t="s">
        <v>128</v>
      </c>
      <c r="L31" s="138">
        <f>L30*0.5</f>
        <v>2.5641025641025511E-3</v>
      </c>
      <c r="M31" s="522"/>
      <c r="N31" s="404"/>
    </row>
    <row r="32" spans="1:14" s="49" customFormat="1" ht="93.75" customHeight="1" x14ac:dyDescent="0.35">
      <c r="A32" s="511"/>
      <c r="B32" s="509"/>
      <c r="C32" s="407"/>
      <c r="D32" s="404"/>
      <c r="E32" s="516"/>
      <c r="F32" s="445"/>
      <c r="G32" s="526"/>
      <c r="H32" s="521"/>
      <c r="I32" s="433"/>
      <c r="J32" s="401"/>
      <c r="K32" s="52" t="s">
        <v>129</v>
      </c>
      <c r="L32" s="138">
        <v>0</v>
      </c>
      <c r="M32" s="523"/>
      <c r="N32" s="404"/>
    </row>
    <row r="33" spans="1:14" s="49" customFormat="1" ht="23.25" customHeight="1" x14ac:dyDescent="0.35">
      <c r="A33" s="510" t="s">
        <v>187</v>
      </c>
      <c r="B33" s="507" t="s">
        <v>181</v>
      </c>
      <c r="C33" s="407" t="s">
        <v>188</v>
      </c>
      <c r="D33" s="404" t="s">
        <v>172</v>
      </c>
      <c r="E33" s="514"/>
      <c r="F33" s="529"/>
      <c r="G33" s="532"/>
      <c r="H33" s="521" t="s">
        <v>25</v>
      </c>
      <c r="I33" s="432">
        <f>IF(H33='Response Guidlines'!$D$81,'Response Guidlines'!$C$81, IF(H33='Response Guidlines'!$D$82,'Response Guidlines'!$C$82,IF(H33='Response Guidlines'!$D$83,'Response Guidlines'!$C$83,IF(H33='Response Guidlines'!$D$84,'Response Guidlines'!$C$84,IF(H33='Response Guidlines'!$D$85,'Response Guidlines'!$C$85,IF(H33='Response Guidlines'!$D$86,'Response Guidlines'!$C$86,IF(H33='Response Guidlines'!$D$87,'Response Guidlines'!$C$87,"No Rating")))))))</f>
        <v>2</v>
      </c>
      <c r="J33" s="420">
        <f>(I33/$I$78)/_xlfn.XLOOKUP('Scoring Summary'!$D$19,'Response Guidlines'!$D$92:$D$191,'Response Guidlines'!$C$92:$C$191,"",0,1)</f>
        <v>5.1282051282051022E-3</v>
      </c>
      <c r="K33" s="56" t="s">
        <v>127</v>
      </c>
      <c r="L33" s="136">
        <f>J33</f>
        <v>5.1282051282051022E-3</v>
      </c>
      <c r="M33" s="436">
        <v>0</v>
      </c>
      <c r="N33" s="404"/>
    </row>
    <row r="34" spans="1:14" s="49" customFormat="1" ht="23.25" customHeight="1" x14ac:dyDescent="0.35">
      <c r="A34" s="510"/>
      <c r="B34" s="508"/>
      <c r="C34" s="407"/>
      <c r="D34" s="404"/>
      <c r="E34" s="515"/>
      <c r="F34" s="530"/>
      <c r="G34" s="533"/>
      <c r="H34" s="521"/>
      <c r="I34" s="433"/>
      <c r="J34" s="401"/>
      <c r="K34" s="52" t="s">
        <v>128</v>
      </c>
      <c r="L34" s="138">
        <f>L33*0.5</f>
        <v>2.5641025641025511E-3</v>
      </c>
      <c r="M34" s="522"/>
      <c r="N34" s="404"/>
    </row>
    <row r="35" spans="1:14" s="49" customFormat="1" ht="96.75" customHeight="1" x14ac:dyDescent="0.35">
      <c r="A35" s="511"/>
      <c r="B35" s="509"/>
      <c r="C35" s="407"/>
      <c r="D35" s="404"/>
      <c r="E35" s="516"/>
      <c r="F35" s="531"/>
      <c r="G35" s="534"/>
      <c r="H35" s="521"/>
      <c r="I35" s="433"/>
      <c r="J35" s="401"/>
      <c r="K35" s="52" t="s">
        <v>129</v>
      </c>
      <c r="L35" s="138">
        <v>0</v>
      </c>
      <c r="M35" s="523"/>
      <c r="N35" s="404"/>
    </row>
    <row r="36" spans="1:14" s="49" customFormat="1" ht="22.5" customHeight="1" x14ac:dyDescent="0.35">
      <c r="A36" s="510" t="s">
        <v>189</v>
      </c>
      <c r="B36" s="507" t="s">
        <v>181</v>
      </c>
      <c r="C36" s="407" t="s">
        <v>190</v>
      </c>
      <c r="D36" s="404" t="s">
        <v>172</v>
      </c>
      <c r="E36" s="514"/>
      <c r="F36" s="446"/>
      <c r="G36" s="524"/>
      <c r="H36" s="521" t="s">
        <v>27</v>
      </c>
      <c r="I36" s="432">
        <f>IF(H36='Response Guidlines'!$D$81,'Response Guidlines'!$C$81, IF(H36='Response Guidlines'!$D$82,'Response Guidlines'!$C$82,IF(H36='Response Guidlines'!$D$83,'Response Guidlines'!$C$83,IF(H36='Response Guidlines'!$D$84,'Response Guidlines'!$C$84,IF(H36='Response Guidlines'!$D$85,'Response Guidlines'!$C$85,IF(H36='Response Guidlines'!$D$86,'Response Guidlines'!$C$86,IF(H36='Response Guidlines'!$D$87,'Response Guidlines'!$C$87,"No Rating")))))))</f>
        <v>4</v>
      </c>
      <c r="J36" s="420">
        <f>(I36/$I$78)/_xlfn.XLOOKUP('Scoring Summary'!$D$19,'Response Guidlines'!$D$92:$D$191,'Response Guidlines'!$C$92:$C$191,"",0,1)</f>
        <v>1.0256410256410204E-2</v>
      </c>
      <c r="K36" s="56" t="s">
        <v>127</v>
      </c>
      <c r="L36" s="136">
        <f t="shared" ref="L36" si="5">J36</f>
        <v>1.0256410256410204E-2</v>
      </c>
      <c r="M36" s="436">
        <v>0</v>
      </c>
      <c r="N36" s="404"/>
    </row>
    <row r="37" spans="1:14" s="49" customFormat="1" ht="20.5" x14ac:dyDescent="0.35">
      <c r="A37" s="510"/>
      <c r="B37" s="508"/>
      <c r="C37" s="407"/>
      <c r="D37" s="404"/>
      <c r="E37" s="515"/>
      <c r="F37" s="444"/>
      <c r="G37" s="525"/>
      <c r="H37" s="521"/>
      <c r="I37" s="433"/>
      <c r="J37" s="401"/>
      <c r="K37" s="52" t="s">
        <v>128</v>
      </c>
      <c r="L37" s="138">
        <f>L36*0.5</f>
        <v>5.1282051282051022E-3</v>
      </c>
      <c r="M37" s="522"/>
      <c r="N37" s="404"/>
    </row>
    <row r="38" spans="1:14" s="49" customFormat="1" ht="93.75" customHeight="1" x14ac:dyDescent="0.35">
      <c r="A38" s="511"/>
      <c r="B38" s="509"/>
      <c r="C38" s="407"/>
      <c r="D38" s="404"/>
      <c r="E38" s="516"/>
      <c r="F38" s="445"/>
      <c r="G38" s="526"/>
      <c r="H38" s="521"/>
      <c r="I38" s="433"/>
      <c r="J38" s="401"/>
      <c r="K38" s="52" t="s">
        <v>129</v>
      </c>
      <c r="L38" s="138">
        <v>0</v>
      </c>
      <c r="M38" s="523"/>
      <c r="N38" s="404"/>
    </row>
    <row r="39" spans="1:14" s="49" customFormat="1" ht="22.5" customHeight="1" x14ac:dyDescent="0.35">
      <c r="A39" s="510" t="s">
        <v>191</v>
      </c>
      <c r="B39" s="507" t="s">
        <v>181</v>
      </c>
      <c r="C39" s="407" t="s">
        <v>192</v>
      </c>
      <c r="D39" s="404" t="s">
        <v>172</v>
      </c>
      <c r="E39" s="514"/>
      <c r="F39" s="446"/>
      <c r="G39" s="524"/>
      <c r="H39" s="521" t="s">
        <v>25</v>
      </c>
      <c r="I39" s="432">
        <f>IF(H39='Response Guidlines'!$D$81,'Response Guidlines'!$C$81, IF(H39='Response Guidlines'!$D$82,'Response Guidlines'!$C$82,IF(H39='Response Guidlines'!$D$83,'Response Guidlines'!$C$83,IF(H39='Response Guidlines'!$D$84,'Response Guidlines'!$C$84,IF(H39='Response Guidlines'!$D$85,'Response Guidlines'!$C$85,IF(H39='Response Guidlines'!$D$86,'Response Guidlines'!$C$86,IF(H39='Response Guidlines'!$D$87,'Response Guidlines'!$C$87,"No Rating")))))))</f>
        <v>2</v>
      </c>
      <c r="J39" s="420">
        <f>(I39/$I$78)/_xlfn.XLOOKUP('Scoring Summary'!$D$19,'Response Guidlines'!$D$92:$D$191,'Response Guidlines'!$C$92:$C$191,"",0,1)</f>
        <v>5.1282051282051022E-3</v>
      </c>
      <c r="K39" s="56" t="s">
        <v>127</v>
      </c>
      <c r="L39" s="136">
        <f>J39</f>
        <v>5.1282051282051022E-3</v>
      </c>
      <c r="M39" s="436">
        <v>0</v>
      </c>
      <c r="N39" s="404"/>
    </row>
    <row r="40" spans="1:14" s="49" customFormat="1" ht="20.5" x14ac:dyDescent="0.35">
      <c r="A40" s="510"/>
      <c r="B40" s="508"/>
      <c r="C40" s="407"/>
      <c r="D40" s="404"/>
      <c r="E40" s="515"/>
      <c r="F40" s="444"/>
      <c r="G40" s="525"/>
      <c r="H40" s="521"/>
      <c r="I40" s="433"/>
      <c r="J40" s="401"/>
      <c r="K40" s="52" t="s">
        <v>128</v>
      </c>
      <c r="L40" s="138">
        <f>L39*0.5</f>
        <v>2.5641025641025511E-3</v>
      </c>
      <c r="M40" s="522"/>
      <c r="N40" s="404"/>
    </row>
    <row r="41" spans="1:14" s="49" customFormat="1" ht="90.75" customHeight="1" x14ac:dyDescent="0.35">
      <c r="A41" s="511"/>
      <c r="B41" s="509"/>
      <c r="C41" s="407"/>
      <c r="D41" s="404"/>
      <c r="E41" s="516"/>
      <c r="F41" s="445"/>
      <c r="G41" s="526"/>
      <c r="H41" s="521"/>
      <c r="I41" s="433"/>
      <c r="J41" s="401"/>
      <c r="K41" s="52" t="s">
        <v>129</v>
      </c>
      <c r="L41" s="138">
        <v>0</v>
      </c>
      <c r="M41" s="523"/>
      <c r="N41" s="404"/>
    </row>
    <row r="42" spans="1:14" s="49" customFormat="1" ht="22.5" customHeight="1" x14ac:dyDescent="0.35">
      <c r="A42" s="510" t="s">
        <v>193</v>
      </c>
      <c r="B42" s="507" t="s">
        <v>181</v>
      </c>
      <c r="C42" s="407" t="s">
        <v>194</v>
      </c>
      <c r="D42" s="404" t="s">
        <v>172</v>
      </c>
      <c r="E42" s="514"/>
      <c r="F42" s="446"/>
      <c r="G42" s="524"/>
      <c r="H42" s="521" t="s">
        <v>27</v>
      </c>
      <c r="I42" s="432">
        <f>IF(H42='Response Guidlines'!$D$81,'Response Guidlines'!$C$81, IF(H42='Response Guidlines'!$D$82,'Response Guidlines'!$C$82,IF(H42='Response Guidlines'!$D$83,'Response Guidlines'!$C$83,IF(H42='Response Guidlines'!$D$84,'Response Guidlines'!$C$84,IF(H42='Response Guidlines'!$D$85,'Response Guidlines'!$C$85,IF(H42='Response Guidlines'!$D$86,'Response Guidlines'!$C$86,IF(H42='Response Guidlines'!$D$87,'Response Guidlines'!$C$87,"No Rating")))))))</f>
        <v>4</v>
      </c>
      <c r="J42" s="420">
        <f>(I42/$I$78)/_xlfn.XLOOKUP('Scoring Summary'!$D$19,'Response Guidlines'!$D$92:$D$191,'Response Guidlines'!$C$92:$C$191,"",0,1)</f>
        <v>1.0256410256410204E-2</v>
      </c>
      <c r="K42" s="56" t="s">
        <v>127</v>
      </c>
      <c r="L42" s="136">
        <f t="shared" ref="L42" si="6">J42</f>
        <v>1.0256410256410204E-2</v>
      </c>
      <c r="M42" s="436">
        <v>0</v>
      </c>
      <c r="N42" s="404"/>
    </row>
    <row r="43" spans="1:14" s="49" customFormat="1" ht="20.5" x14ac:dyDescent="0.35">
      <c r="A43" s="510"/>
      <c r="B43" s="508"/>
      <c r="C43" s="407"/>
      <c r="D43" s="404"/>
      <c r="E43" s="515"/>
      <c r="F43" s="444"/>
      <c r="G43" s="525"/>
      <c r="H43" s="521"/>
      <c r="I43" s="433"/>
      <c r="J43" s="401"/>
      <c r="K43" s="52" t="s">
        <v>128</v>
      </c>
      <c r="L43" s="138">
        <f>L42*0.5</f>
        <v>5.1282051282051022E-3</v>
      </c>
      <c r="M43" s="522"/>
      <c r="N43" s="404"/>
    </row>
    <row r="44" spans="1:14" s="49" customFormat="1" ht="109.5" customHeight="1" x14ac:dyDescent="0.35">
      <c r="A44" s="511"/>
      <c r="B44" s="509"/>
      <c r="C44" s="407"/>
      <c r="D44" s="404"/>
      <c r="E44" s="516"/>
      <c r="F44" s="445"/>
      <c r="G44" s="526"/>
      <c r="H44" s="521"/>
      <c r="I44" s="433"/>
      <c r="J44" s="401"/>
      <c r="K44" s="52" t="s">
        <v>129</v>
      </c>
      <c r="L44" s="138">
        <v>0</v>
      </c>
      <c r="M44" s="523"/>
      <c r="N44" s="404"/>
    </row>
    <row r="45" spans="1:14" s="49" customFormat="1" ht="22.5" customHeight="1" x14ac:dyDescent="0.35">
      <c r="A45" s="510" t="s">
        <v>195</v>
      </c>
      <c r="B45" s="507" t="s">
        <v>181</v>
      </c>
      <c r="C45" s="407" t="s">
        <v>196</v>
      </c>
      <c r="D45" s="404" t="s">
        <v>172</v>
      </c>
      <c r="E45" s="514"/>
      <c r="F45" s="446"/>
      <c r="G45" s="524"/>
      <c r="H45" s="521" t="s">
        <v>27</v>
      </c>
      <c r="I45" s="432">
        <f>IF(H45='Response Guidlines'!$D$81,'Response Guidlines'!$C$81, IF(H45='Response Guidlines'!$D$82,'Response Guidlines'!$C$82,IF(H45='Response Guidlines'!$D$83,'Response Guidlines'!$C$83,IF(H45='Response Guidlines'!$D$84,'Response Guidlines'!$C$84,IF(H45='Response Guidlines'!$D$85,'Response Guidlines'!$C$85,IF(H45='Response Guidlines'!$D$86,'Response Guidlines'!$C$86,IF(H45='Response Guidlines'!$D$87,'Response Guidlines'!$C$87,"No Rating")))))))</f>
        <v>4</v>
      </c>
      <c r="J45" s="420">
        <f>(I45/$I$78)/_xlfn.XLOOKUP('Scoring Summary'!$D$19,'Response Guidlines'!$D$92:$D$191,'Response Guidlines'!$C$92:$C$191,"",0,1)</f>
        <v>1.0256410256410204E-2</v>
      </c>
      <c r="K45" s="56" t="s">
        <v>127</v>
      </c>
      <c r="L45" s="136">
        <f t="shared" ref="L45" si="7">J45</f>
        <v>1.0256410256410204E-2</v>
      </c>
      <c r="M45" s="436">
        <v>0</v>
      </c>
      <c r="N45" s="404"/>
    </row>
    <row r="46" spans="1:14" s="49" customFormat="1" ht="20.5" x14ac:dyDescent="0.35">
      <c r="A46" s="510"/>
      <c r="B46" s="508"/>
      <c r="C46" s="407"/>
      <c r="D46" s="404"/>
      <c r="E46" s="515"/>
      <c r="F46" s="444"/>
      <c r="G46" s="525"/>
      <c r="H46" s="521"/>
      <c r="I46" s="433"/>
      <c r="J46" s="401"/>
      <c r="K46" s="52" t="s">
        <v>128</v>
      </c>
      <c r="L46" s="138">
        <f t="shared" ref="L46" si="8">L45*0.5</f>
        <v>5.1282051282051022E-3</v>
      </c>
      <c r="M46" s="522"/>
      <c r="N46" s="404"/>
    </row>
    <row r="47" spans="1:14" s="49" customFormat="1" ht="92.25" customHeight="1" x14ac:dyDescent="0.35">
      <c r="A47" s="511"/>
      <c r="B47" s="509"/>
      <c r="C47" s="407"/>
      <c r="D47" s="404"/>
      <c r="E47" s="516"/>
      <c r="F47" s="445"/>
      <c r="G47" s="526"/>
      <c r="H47" s="521"/>
      <c r="I47" s="433"/>
      <c r="J47" s="401"/>
      <c r="K47" s="52" t="s">
        <v>129</v>
      </c>
      <c r="L47" s="138">
        <v>0</v>
      </c>
      <c r="M47" s="523"/>
      <c r="N47" s="404"/>
    </row>
    <row r="48" spans="1:14" s="49" customFormat="1" ht="22.5" customHeight="1" x14ac:dyDescent="0.35">
      <c r="A48" s="510" t="s">
        <v>197</v>
      </c>
      <c r="B48" s="507" t="s">
        <v>181</v>
      </c>
      <c r="C48" s="407" t="s">
        <v>198</v>
      </c>
      <c r="D48" s="404" t="s">
        <v>172</v>
      </c>
      <c r="E48" s="514"/>
      <c r="F48" s="444"/>
      <c r="G48" s="525"/>
      <c r="H48" s="521" t="s">
        <v>27</v>
      </c>
      <c r="I48" s="432">
        <f>IF(H48='Response Guidlines'!$D$81,'Response Guidlines'!$C$81, IF(H48='Response Guidlines'!$D$82,'Response Guidlines'!$C$82,IF(H48='Response Guidlines'!$D$83,'Response Guidlines'!$C$83,IF(H48='Response Guidlines'!$D$84,'Response Guidlines'!$C$84,IF(H48='Response Guidlines'!$D$85,'Response Guidlines'!$C$85,IF(H48='Response Guidlines'!$D$86,'Response Guidlines'!$C$86,IF(H48='Response Guidlines'!$D$87,'Response Guidlines'!$C$87,"No Rating")))))))</f>
        <v>4</v>
      </c>
      <c r="J48" s="420">
        <f>(I48/$I$78)/_xlfn.XLOOKUP('Scoring Summary'!$D$19,'Response Guidlines'!$D$92:$D$191,'Response Guidlines'!$C$92:$C$191,"",0,1)</f>
        <v>1.0256410256410204E-2</v>
      </c>
      <c r="K48" s="56" t="s">
        <v>127</v>
      </c>
      <c r="L48" s="136">
        <f>J48</f>
        <v>1.0256410256410204E-2</v>
      </c>
      <c r="M48" s="436">
        <v>0</v>
      </c>
      <c r="N48" s="404"/>
    </row>
    <row r="49" spans="1:14" s="49" customFormat="1" ht="20.5" x14ac:dyDescent="0.35">
      <c r="A49" s="510"/>
      <c r="B49" s="508"/>
      <c r="C49" s="407"/>
      <c r="D49" s="404"/>
      <c r="E49" s="515"/>
      <c r="F49" s="444"/>
      <c r="G49" s="525"/>
      <c r="H49" s="521"/>
      <c r="I49" s="433"/>
      <c r="J49" s="401"/>
      <c r="K49" s="52" t="s">
        <v>128</v>
      </c>
      <c r="L49" s="138">
        <f>L48*0.5</f>
        <v>5.1282051282051022E-3</v>
      </c>
      <c r="M49" s="522"/>
      <c r="N49" s="404"/>
    </row>
    <row r="50" spans="1:14" s="49" customFormat="1" ht="93" customHeight="1" x14ac:dyDescent="0.35">
      <c r="A50" s="511"/>
      <c r="B50" s="509"/>
      <c r="C50" s="407"/>
      <c r="D50" s="404"/>
      <c r="E50" s="516"/>
      <c r="F50" s="445"/>
      <c r="G50" s="526"/>
      <c r="H50" s="521"/>
      <c r="I50" s="433"/>
      <c r="J50" s="401"/>
      <c r="K50" s="52" t="s">
        <v>129</v>
      </c>
      <c r="L50" s="138">
        <v>0</v>
      </c>
      <c r="M50" s="523"/>
      <c r="N50" s="404"/>
    </row>
    <row r="51" spans="1:14" s="49" customFormat="1" ht="22.5" customHeight="1" x14ac:dyDescent="0.35">
      <c r="A51" s="510" t="s">
        <v>199</v>
      </c>
      <c r="B51" s="507" t="s">
        <v>181</v>
      </c>
      <c r="C51" s="407" t="s">
        <v>200</v>
      </c>
      <c r="D51" s="404" t="s">
        <v>172</v>
      </c>
      <c r="E51" s="514"/>
      <c r="F51" s="446"/>
      <c r="G51" s="524"/>
      <c r="H51" s="521" t="s">
        <v>26</v>
      </c>
      <c r="I51" s="432">
        <f>IF(H51='Response Guidlines'!$D$81,'Response Guidlines'!$C$81, IF(H51='Response Guidlines'!$D$82,'Response Guidlines'!$C$82,IF(H51='Response Guidlines'!$D$83,'Response Guidlines'!$C$83,IF(H51='Response Guidlines'!$D$84,'Response Guidlines'!$C$84,IF(H51='Response Guidlines'!$D$85,'Response Guidlines'!$C$85,IF(H51='Response Guidlines'!$D$86,'Response Guidlines'!$C$86,IF(H51='Response Guidlines'!$D$87,'Response Guidlines'!$C$87,"No Rating")))))))</f>
        <v>3</v>
      </c>
      <c r="J51" s="420">
        <f>(I51/$I$78)/_xlfn.XLOOKUP('Scoring Summary'!$D$19,'Response Guidlines'!$D$92:$D$191,'Response Guidlines'!$C$92:$C$191,"",0,1)</f>
        <v>7.6923076923076546E-3</v>
      </c>
      <c r="K51" s="56" t="s">
        <v>127</v>
      </c>
      <c r="L51" s="136">
        <f>J51</f>
        <v>7.6923076923076546E-3</v>
      </c>
      <c r="M51" s="436">
        <v>0</v>
      </c>
      <c r="N51" s="404"/>
    </row>
    <row r="52" spans="1:14" s="49" customFormat="1" ht="20.5" x14ac:dyDescent="0.35">
      <c r="A52" s="510"/>
      <c r="B52" s="508"/>
      <c r="C52" s="407"/>
      <c r="D52" s="404"/>
      <c r="E52" s="515"/>
      <c r="F52" s="444"/>
      <c r="G52" s="525"/>
      <c r="H52" s="521"/>
      <c r="I52" s="433"/>
      <c r="J52" s="401"/>
      <c r="K52" s="52" t="s">
        <v>128</v>
      </c>
      <c r="L52" s="138">
        <f>L51*0.5</f>
        <v>3.8461538461538273E-3</v>
      </c>
      <c r="M52" s="522"/>
      <c r="N52" s="404"/>
    </row>
    <row r="53" spans="1:14" s="49" customFormat="1" ht="97.5" customHeight="1" x14ac:dyDescent="0.35">
      <c r="A53" s="511"/>
      <c r="B53" s="509"/>
      <c r="C53" s="407"/>
      <c r="D53" s="404"/>
      <c r="E53" s="516"/>
      <c r="F53" s="445"/>
      <c r="G53" s="526"/>
      <c r="H53" s="521"/>
      <c r="I53" s="433"/>
      <c r="J53" s="401"/>
      <c r="K53" s="52" t="s">
        <v>129</v>
      </c>
      <c r="L53" s="138">
        <v>0</v>
      </c>
      <c r="M53" s="523"/>
      <c r="N53" s="404"/>
    </row>
    <row r="54" spans="1:14" s="49" customFormat="1" ht="22.5" customHeight="1" x14ac:dyDescent="0.35">
      <c r="A54" s="510" t="s">
        <v>201</v>
      </c>
      <c r="B54" s="507" t="s">
        <v>181</v>
      </c>
      <c r="C54" s="407" t="s">
        <v>202</v>
      </c>
      <c r="D54" s="404" t="s">
        <v>172</v>
      </c>
      <c r="E54" s="514"/>
      <c r="F54" s="446"/>
      <c r="G54" s="524"/>
      <c r="H54" s="521" t="s">
        <v>27</v>
      </c>
      <c r="I54" s="432">
        <f>IF(H54='Response Guidlines'!$D$81,'Response Guidlines'!$C$81, IF(H54='Response Guidlines'!$D$82,'Response Guidlines'!$C$82,IF(H54='Response Guidlines'!$D$83,'Response Guidlines'!$C$83,IF(H54='Response Guidlines'!$D$84,'Response Guidlines'!$C$84,IF(H54='Response Guidlines'!$D$85,'Response Guidlines'!$C$85,IF(H54='Response Guidlines'!$D$86,'Response Guidlines'!$C$86,IF(H54='Response Guidlines'!$D$87,'Response Guidlines'!$C$87,"No Rating")))))))</f>
        <v>4</v>
      </c>
      <c r="J54" s="420">
        <f>(I54/$I$78)/_xlfn.XLOOKUP('Scoring Summary'!$D$19,'Response Guidlines'!$D$92:$D$191,'Response Guidlines'!$C$92:$C$191,"",0,1)</f>
        <v>1.0256410256410204E-2</v>
      </c>
      <c r="K54" s="56" t="s">
        <v>127</v>
      </c>
      <c r="L54" s="136">
        <f>J54</f>
        <v>1.0256410256410204E-2</v>
      </c>
      <c r="M54" s="436">
        <v>0</v>
      </c>
      <c r="N54" s="404"/>
    </row>
    <row r="55" spans="1:14" s="49" customFormat="1" ht="20.5" x14ac:dyDescent="0.35">
      <c r="A55" s="510"/>
      <c r="B55" s="508"/>
      <c r="C55" s="407"/>
      <c r="D55" s="404"/>
      <c r="E55" s="515"/>
      <c r="F55" s="444"/>
      <c r="G55" s="525"/>
      <c r="H55" s="521"/>
      <c r="I55" s="433"/>
      <c r="J55" s="401"/>
      <c r="K55" s="52" t="s">
        <v>128</v>
      </c>
      <c r="L55" s="138">
        <f>L54*0.5</f>
        <v>5.1282051282051022E-3</v>
      </c>
      <c r="M55" s="522"/>
      <c r="N55" s="404"/>
    </row>
    <row r="56" spans="1:14" s="49" customFormat="1" ht="90.75" customHeight="1" x14ac:dyDescent="0.35">
      <c r="A56" s="511"/>
      <c r="B56" s="509"/>
      <c r="C56" s="407"/>
      <c r="D56" s="404"/>
      <c r="E56" s="516"/>
      <c r="F56" s="445"/>
      <c r="G56" s="526"/>
      <c r="H56" s="521"/>
      <c r="I56" s="433"/>
      <c r="J56" s="401"/>
      <c r="K56" s="52" t="s">
        <v>129</v>
      </c>
      <c r="L56" s="138">
        <v>0</v>
      </c>
      <c r="M56" s="523"/>
      <c r="N56" s="404"/>
    </row>
    <row r="57" spans="1:14" s="49" customFormat="1" ht="22.5" customHeight="1" x14ac:dyDescent="0.35">
      <c r="A57" s="510" t="s">
        <v>203</v>
      </c>
      <c r="B57" s="507" t="s">
        <v>181</v>
      </c>
      <c r="C57" s="407" t="s">
        <v>204</v>
      </c>
      <c r="D57" s="404" t="s">
        <v>172</v>
      </c>
      <c r="E57" s="514"/>
      <c r="F57" s="517"/>
      <c r="G57" s="519"/>
      <c r="H57" s="521" t="s">
        <v>27</v>
      </c>
      <c r="I57" s="432">
        <f>IF(H57='Response Guidlines'!$D$81,'Response Guidlines'!$C$81, IF(H57='Response Guidlines'!$D$82,'Response Guidlines'!$C$82,IF(H57='Response Guidlines'!$D$83,'Response Guidlines'!$C$83,IF(H57='Response Guidlines'!$D$84,'Response Guidlines'!$C$84,IF(H57='Response Guidlines'!$D$85,'Response Guidlines'!$C$85,IF(H57='Response Guidlines'!$D$86,'Response Guidlines'!$C$86,IF(H57='Response Guidlines'!$D$87,'Response Guidlines'!$C$87,"No Rating")))))))</f>
        <v>4</v>
      </c>
      <c r="J57" s="420">
        <f>(I57/$I$78)/_xlfn.XLOOKUP('Scoring Summary'!$D$19,'Response Guidlines'!$D$92:$D$191,'Response Guidlines'!$C$92:$C$191,"",0,1)</f>
        <v>1.0256410256410204E-2</v>
      </c>
      <c r="K57" s="56" t="s">
        <v>127</v>
      </c>
      <c r="L57" s="136">
        <f>J57</f>
        <v>1.0256410256410204E-2</v>
      </c>
      <c r="M57" s="436">
        <v>0</v>
      </c>
      <c r="N57" s="404"/>
    </row>
    <row r="58" spans="1:14" s="49" customFormat="1" ht="20.5" x14ac:dyDescent="0.35">
      <c r="A58" s="510"/>
      <c r="B58" s="508"/>
      <c r="C58" s="407"/>
      <c r="D58" s="404"/>
      <c r="E58" s="515"/>
      <c r="F58" s="517"/>
      <c r="G58" s="519"/>
      <c r="H58" s="521"/>
      <c r="I58" s="433"/>
      <c r="J58" s="401"/>
      <c r="K58" s="52" t="s">
        <v>128</v>
      </c>
      <c r="L58" s="138">
        <f>L57*0.5</f>
        <v>5.1282051282051022E-3</v>
      </c>
      <c r="M58" s="522"/>
      <c r="N58" s="404"/>
    </row>
    <row r="59" spans="1:14" s="49" customFormat="1" ht="93.75" customHeight="1" x14ac:dyDescent="0.35">
      <c r="A59" s="511"/>
      <c r="B59" s="509"/>
      <c r="C59" s="407"/>
      <c r="D59" s="404"/>
      <c r="E59" s="516"/>
      <c r="F59" s="518"/>
      <c r="G59" s="520"/>
      <c r="H59" s="521"/>
      <c r="I59" s="433"/>
      <c r="J59" s="401"/>
      <c r="K59" s="52" t="s">
        <v>129</v>
      </c>
      <c r="L59" s="138">
        <v>0</v>
      </c>
      <c r="M59" s="523"/>
      <c r="N59" s="404"/>
    </row>
    <row r="60" spans="1:14" s="49" customFormat="1" ht="22.5" customHeight="1" x14ac:dyDescent="0.35">
      <c r="A60" s="510" t="s">
        <v>205</v>
      </c>
      <c r="B60" s="507" t="s">
        <v>181</v>
      </c>
      <c r="C60" s="407" t="s">
        <v>206</v>
      </c>
      <c r="D60" s="404" t="s">
        <v>172</v>
      </c>
      <c r="E60" s="514"/>
      <c r="F60" s="444"/>
      <c r="G60" s="525"/>
      <c r="H60" s="521" t="s">
        <v>27</v>
      </c>
      <c r="I60" s="432">
        <f>IF(H60='Response Guidlines'!$D$81,'Response Guidlines'!$C$81, IF(H60='Response Guidlines'!$D$82,'Response Guidlines'!$C$82,IF(H60='Response Guidlines'!$D$83,'Response Guidlines'!$C$83,IF(H60='Response Guidlines'!$D$84,'Response Guidlines'!$C$84,IF(H60='Response Guidlines'!$D$85,'Response Guidlines'!$C$85,IF(H60='Response Guidlines'!$D$86,'Response Guidlines'!$C$86,IF(H60='Response Guidlines'!$D$87,'Response Guidlines'!$C$87,"No Rating")))))))</f>
        <v>4</v>
      </c>
      <c r="J60" s="420">
        <f>(I60/$I$78)/_xlfn.XLOOKUP('Scoring Summary'!$D$19,'Response Guidlines'!$D$92:$D$191,'Response Guidlines'!$C$92:$C$191,"",0,1)</f>
        <v>1.0256410256410204E-2</v>
      </c>
      <c r="K60" s="56" t="s">
        <v>127</v>
      </c>
      <c r="L60" s="136">
        <f>J60</f>
        <v>1.0256410256410204E-2</v>
      </c>
      <c r="M60" s="436">
        <v>0</v>
      </c>
      <c r="N60" s="404"/>
    </row>
    <row r="61" spans="1:14" s="49" customFormat="1" ht="20.5" x14ac:dyDescent="0.35">
      <c r="A61" s="510"/>
      <c r="B61" s="508"/>
      <c r="C61" s="407"/>
      <c r="D61" s="404"/>
      <c r="E61" s="515"/>
      <c r="F61" s="444"/>
      <c r="G61" s="525"/>
      <c r="H61" s="521"/>
      <c r="I61" s="433"/>
      <c r="J61" s="401"/>
      <c r="K61" s="52" t="s">
        <v>128</v>
      </c>
      <c r="L61" s="138">
        <f>L60*0.5</f>
        <v>5.1282051282051022E-3</v>
      </c>
      <c r="M61" s="522"/>
      <c r="N61" s="404"/>
    </row>
    <row r="62" spans="1:14" s="49" customFormat="1" ht="90" customHeight="1" x14ac:dyDescent="0.35">
      <c r="A62" s="511"/>
      <c r="B62" s="509"/>
      <c r="C62" s="407"/>
      <c r="D62" s="404"/>
      <c r="E62" s="516"/>
      <c r="F62" s="445"/>
      <c r="G62" s="526"/>
      <c r="H62" s="521"/>
      <c r="I62" s="433"/>
      <c r="J62" s="401"/>
      <c r="K62" s="52" t="s">
        <v>129</v>
      </c>
      <c r="L62" s="138">
        <v>0</v>
      </c>
      <c r="M62" s="523"/>
      <c r="N62" s="404"/>
    </row>
    <row r="63" spans="1:14" s="49" customFormat="1" ht="22.5" customHeight="1" x14ac:dyDescent="0.35">
      <c r="A63" s="510" t="s">
        <v>207</v>
      </c>
      <c r="B63" s="507" t="s">
        <v>181</v>
      </c>
      <c r="C63" s="407" t="s">
        <v>208</v>
      </c>
      <c r="D63" s="404" t="s">
        <v>172</v>
      </c>
      <c r="E63" s="514"/>
      <c r="F63" s="446"/>
      <c r="G63" s="524"/>
      <c r="H63" s="521" t="s">
        <v>26</v>
      </c>
      <c r="I63" s="432">
        <f>IF(H63='Response Guidlines'!$D$81,'Response Guidlines'!$C$81, IF(H63='Response Guidlines'!$D$82,'Response Guidlines'!$C$82,IF(H63='Response Guidlines'!$D$83,'Response Guidlines'!$C$83,IF(H63='Response Guidlines'!$D$84,'Response Guidlines'!$C$84,IF(H63='Response Guidlines'!$D$85,'Response Guidlines'!$C$85,IF(H63='Response Guidlines'!$D$86,'Response Guidlines'!$C$86,IF(H63='Response Guidlines'!$D$87,'Response Guidlines'!$C$87,"No Rating")))))))</f>
        <v>3</v>
      </c>
      <c r="J63" s="420">
        <f>(I63/$I$78)/_xlfn.XLOOKUP('Scoring Summary'!$D$19,'Response Guidlines'!$D$92:$D$191,'Response Guidlines'!$C$92:$C$191,"",0,1)</f>
        <v>7.6923076923076546E-3</v>
      </c>
      <c r="K63" s="56" t="s">
        <v>127</v>
      </c>
      <c r="L63" s="136">
        <f>J63</f>
        <v>7.6923076923076546E-3</v>
      </c>
      <c r="M63" s="436">
        <v>0</v>
      </c>
      <c r="N63" s="404"/>
    </row>
    <row r="64" spans="1:14" s="49" customFormat="1" ht="20.5" x14ac:dyDescent="0.35">
      <c r="A64" s="510"/>
      <c r="B64" s="508"/>
      <c r="C64" s="407"/>
      <c r="D64" s="404"/>
      <c r="E64" s="515"/>
      <c r="F64" s="444"/>
      <c r="G64" s="525"/>
      <c r="H64" s="521"/>
      <c r="I64" s="433"/>
      <c r="J64" s="401"/>
      <c r="K64" s="52" t="s">
        <v>128</v>
      </c>
      <c r="L64" s="138">
        <f>L63*0.5</f>
        <v>3.8461538461538273E-3</v>
      </c>
      <c r="M64" s="522"/>
      <c r="N64" s="404"/>
    </row>
    <row r="65" spans="1:14" s="49" customFormat="1" ht="93" customHeight="1" x14ac:dyDescent="0.35">
      <c r="A65" s="511"/>
      <c r="B65" s="509"/>
      <c r="C65" s="407"/>
      <c r="D65" s="404"/>
      <c r="E65" s="516"/>
      <c r="F65" s="445"/>
      <c r="G65" s="526"/>
      <c r="H65" s="521"/>
      <c r="I65" s="433"/>
      <c r="J65" s="401"/>
      <c r="K65" s="52" t="s">
        <v>129</v>
      </c>
      <c r="L65" s="138">
        <v>0</v>
      </c>
      <c r="M65" s="523"/>
      <c r="N65" s="404"/>
    </row>
    <row r="66" spans="1:14" s="49" customFormat="1" ht="22.5" customHeight="1" x14ac:dyDescent="0.35">
      <c r="A66" s="510" t="s">
        <v>209</v>
      </c>
      <c r="B66" s="507" t="s">
        <v>181</v>
      </c>
      <c r="C66" s="407" t="s">
        <v>210</v>
      </c>
      <c r="D66" s="404" t="s">
        <v>172</v>
      </c>
      <c r="E66" s="514"/>
      <c r="F66" s="444"/>
      <c r="G66" s="525"/>
      <c r="H66" s="521" t="s">
        <v>25</v>
      </c>
      <c r="I66" s="432">
        <f>IF(H66='Response Guidlines'!$D$81,'Response Guidlines'!$C$81, IF(H66='Response Guidlines'!$D$82,'Response Guidlines'!$C$82,IF(H66='Response Guidlines'!$D$83,'Response Guidlines'!$C$83,IF(H66='Response Guidlines'!$D$84,'Response Guidlines'!$C$84,IF(H66='Response Guidlines'!$D$85,'Response Guidlines'!$C$85,IF(H66='Response Guidlines'!$D$86,'Response Guidlines'!$C$86,IF(H66='Response Guidlines'!$D$87,'Response Guidlines'!$C$87,"No Rating")))))))</f>
        <v>2</v>
      </c>
      <c r="J66" s="420">
        <f>(I66/$I$78)/_xlfn.XLOOKUP('Scoring Summary'!$D$19,'Response Guidlines'!$D$92:$D$191,'Response Guidlines'!$C$92:$C$191,"",0,1)</f>
        <v>5.1282051282051022E-3</v>
      </c>
      <c r="K66" s="56" t="s">
        <v>127</v>
      </c>
      <c r="L66" s="136">
        <f>J66</f>
        <v>5.1282051282051022E-3</v>
      </c>
      <c r="M66" s="436">
        <v>0</v>
      </c>
      <c r="N66" s="404"/>
    </row>
    <row r="67" spans="1:14" s="49" customFormat="1" ht="20.5" x14ac:dyDescent="0.35">
      <c r="A67" s="510"/>
      <c r="B67" s="508"/>
      <c r="C67" s="407"/>
      <c r="D67" s="404"/>
      <c r="E67" s="515"/>
      <c r="F67" s="444"/>
      <c r="G67" s="525"/>
      <c r="H67" s="521"/>
      <c r="I67" s="433"/>
      <c r="J67" s="401"/>
      <c r="K67" s="52" t="s">
        <v>128</v>
      </c>
      <c r="L67" s="138">
        <f>L66*0.5</f>
        <v>2.5641025641025511E-3</v>
      </c>
      <c r="M67" s="522"/>
      <c r="N67" s="404"/>
    </row>
    <row r="68" spans="1:14" s="49" customFormat="1" ht="92.25" customHeight="1" x14ac:dyDescent="0.35">
      <c r="A68" s="511"/>
      <c r="B68" s="509"/>
      <c r="C68" s="407"/>
      <c r="D68" s="404"/>
      <c r="E68" s="516"/>
      <c r="F68" s="445"/>
      <c r="G68" s="526"/>
      <c r="H68" s="521"/>
      <c r="I68" s="433"/>
      <c r="J68" s="401"/>
      <c r="K68" s="52" t="s">
        <v>129</v>
      </c>
      <c r="L68" s="138">
        <v>0</v>
      </c>
      <c r="M68" s="523"/>
      <c r="N68" s="404"/>
    </row>
    <row r="69" spans="1:14" s="49" customFormat="1" ht="22.5" customHeight="1" x14ac:dyDescent="0.35">
      <c r="A69" s="510" t="s">
        <v>211</v>
      </c>
      <c r="B69" s="507" t="s">
        <v>181</v>
      </c>
      <c r="C69" s="407" t="s">
        <v>212</v>
      </c>
      <c r="D69" s="404" t="s">
        <v>172</v>
      </c>
      <c r="E69" s="514"/>
      <c r="F69" s="446"/>
      <c r="G69" s="524"/>
      <c r="H69" s="521" t="s">
        <v>28</v>
      </c>
      <c r="I69" s="432">
        <f>IF(H69='Response Guidlines'!$D$81,'Response Guidlines'!$C$81, IF(H69='Response Guidlines'!$D$82,'Response Guidlines'!$C$82,IF(H69='Response Guidlines'!$D$83,'Response Guidlines'!$C$83,IF(H69='Response Guidlines'!$D$84,'Response Guidlines'!$C$84,IF(H69='Response Guidlines'!$D$85,'Response Guidlines'!$C$85,IF(H69='Response Guidlines'!$D$86,'Response Guidlines'!$C$86,IF(H69='Response Guidlines'!$D$87,'Response Guidlines'!$C$87,"No Rating")))))))</f>
        <v>5</v>
      </c>
      <c r="J69" s="420">
        <f>(I69/$I$78)/_xlfn.XLOOKUP('Scoring Summary'!$D$19,'Response Guidlines'!$D$92:$D$191,'Response Guidlines'!$C$92:$C$191,"",0,1)</f>
        <v>1.2820512820512756E-2</v>
      </c>
      <c r="K69" s="56" t="s">
        <v>127</v>
      </c>
      <c r="L69" s="136">
        <f>J69</f>
        <v>1.2820512820512756E-2</v>
      </c>
      <c r="M69" s="436">
        <v>0</v>
      </c>
      <c r="N69" s="404"/>
    </row>
    <row r="70" spans="1:14" s="49" customFormat="1" ht="20.5" x14ac:dyDescent="0.35">
      <c r="A70" s="510"/>
      <c r="B70" s="508"/>
      <c r="C70" s="407"/>
      <c r="D70" s="404"/>
      <c r="E70" s="515"/>
      <c r="F70" s="444"/>
      <c r="G70" s="525"/>
      <c r="H70" s="521"/>
      <c r="I70" s="433"/>
      <c r="J70" s="401"/>
      <c r="K70" s="52" t="s">
        <v>128</v>
      </c>
      <c r="L70" s="138">
        <f>L69*0.5</f>
        <v>6.4102564102563779E-3</v>
      </c>
      <c r="M70" s="522"/>
      <c r="N70" s="404"/>
    </row>
    <row r="71" spans="1:14" s="49" customFormat="1" ht="104.25" customHeight="1" x14ac:dyDescent="0.35">
      <c r="A71" s="511"/>
      <c r="B71" s="509"/>
      <c r="C71" s="407"/>
      <c r="D71" s="404"/>
      <c r="E71" s="516"/>
      <c r="F71" s="445"/>
      <c r="G71" s="526"/>
      <c r="H71" s="521"/>
      <c r="I71" s="433"/>
      <c r="J71" s="401"/>
      <c r="K71" s="52" t="s">
        <v>129</v>
      </c>
      <c r="L71" s="138">
        <v>0</v>
      </c>
      <c r="M71" s="523"/>
      <c r="N71" s="404"/>
    </row>
    <row r="72" spans="1:14" s="49" customFormat="1" ht="22.5" customHeight="1" x14ac:dyDescent="0.35">
      <c r="A72" s="510" t="s">
        <v>213</v>
      </c>
      <c r="B72" s="508" t="s">
        <v>214</v>
      </c>
      <c r="C72" s="407" t="s">
        <v>215</v>
      </c>
      <c r="D72" s="404" t="s">
        <v>172</v>
      </c>
      <c r="E72" s="514"/>
      <c r="F72" s="517"/>
      <c r="G72" s="519"/>
      <c r="H72" s="521" t="s">
        <v>26</v>
      </c>
      <c r="I72" s="432">
        <f>IF(H72='Response Guidlines'!$D$81,'Response Guidlines'!$C$81, IF(H72='Response Guidlines'!$D$82,'Response Guidlines'!$C$82,IF(H72='Response Guidlines'!$D$83,'Response Guidlines'!$C$83,IF(H72='Response Guidlines'!$D$84,'Response Guidlines'!$C$84,IF(H72='Response Guidlines'!$D$85,'Response Guidlines'!$C$85,IF(H72='Response Guidlines'!$D$86,'Response Guidlines'!$C$86,IF(H72='Response Guidlines'!$D$87,'Response Guidlines'!$C$87,"No Rating")))))))</f>
        <v>3</v>
      </c>
      <c r="J72" s="420">
        <f>(I72/$I$78)/_xlfn.XLOOKUP('Scoring Summary'!$D$19,'Response Guidlines'!$D$92:$D$191,'Response Guidlines'!$C$92:$C$191,"",0,1)</f>
        <v>7.6923076923076546E-3</v>
      </c>
      <c r="K72" s="56" t="s">
        <v>127</v>
      </c>
      <c r="L72" s="136">
        <f>J72</f>
        <v>7.6923076923076546E-3</v>
      </c>
      <c r="M72" s="436">
        <v>0</v>
      </c>
      <c r="N72" s="404"/>
    </row>
    <row r="73" spans="1:14" s="49" customFormat="1" ht="20.5" x14ac:dyDescent="0.35">
      <c r="A73" s="510"/>
      <c r="B73" s="508"/>
      <c r="C73" s="407"/>
      <c r="D73" s="404"/>
      <c r="E73" s="515"/>
      <c r="F73" s="517"/>
      <c r="G73" s="519"/>
      <c r="H73" s="521"/>
      <c r="I73" s="433"/>
      <c r="J73" s="401"/>
      <c r="K73" s="52" t="s">
        <v>128</v>
      </c>
      <c r="L73" s="138">
        <f>L72*0.5</f>
        <v>3.8461538461538273E-3</v>
      </c>
      <c r="M73" s="522"/>
      <c r="N73" s="404"/>
    </row>
    <row r="74" spans="1:14" s="49" customFormat="1" ht="92.25" customHeight="1" x14ac:dyDescent="0.35">
      <c r="A74" s="511"/>
      <c r="B74" s="509"/>
      <c r="C74" s="407"/>
      <c r="D74" s="404"/>
      <c r="E74" s="516"/>
      <c r="F74" s="518"/>
      <c r="G74" s="520"/>
      <c r="H74" s="521"/>
      <c r="I74" s="433"/>
      <c r="J74" s="401"/>
      <c r="K74" s="52" t="s">
        <v>129</v>
      </c>
      <c r="L74" s="138">
        <v>0</v>
      </c>
      <c r="M74" s="523"/>
      <c r="N74" s="404"/>
    </row>
    <row r="75" spans="1:14" s="49" customFormat="1" ht="22.5" customHeight="1" x14ac:dyDescent="0.35">
      <c r="A75" s="510" t="s">
        <v>216</v>
      </c>
      <c r="B75" s="508" t="s">
        <v>214</v>
      </c>
      <c r="C75" s="407" t="s">
        <v>217</v>
      </c>
      <c r="D75" s="404" t="s">
        <v>172</v>
      </c>
      <c r="E75" s="514"/>
      <c r="F75" s="517"/>
      <c r="G75" s="519"/>
      <c r="H75" s="521" t="s">
        <v>26</v>
      </c>
      <c r="I75" s="432">
        <f>IF(H75='Response Guidlines'!$D$81,'Response Guidlines'!$C$81, IF(H75='Response Guidlines'!$D$82,'Response Guidlines'!$C$82,IF(H75='Response Guidlines'!$D$83,'Response Guidlines'!$C$83,IF(H75='Response Guidlines'!$D$84,'Response Guidlines'!$C$84,IF(H75='Response Guidlines'!$D$85,'Response Guidlines'!$C$85,IF(H75='Response Guidlines'!$D$86,'Response Guidlines'!$C$86,IF(H75='Response Guidlines'!$D$87,'Response Guidlines'!$C$87,"No Rating")))))))</f>
        <v>3</v>
      </c>
      <c r="J75" s="420">
        <f>(I75/$I$78)/_xlfn.XLOOKUP('Scoring Summary'!$D$19,'Response Guidlines'!$D$92:$D$191,'Response Guidlines'!$C$92:$C$191,"",0,1)</f>
        <v>7.6923076923076546E-3</v>
      </c>
      <c r="K75" s="56" t="s">
        <v>127</v>
      </c>
      <c r="L75" s="136">
        <f>J75</f>
        <v>7.6923076923076546E-3</v>
      </c>
      <c r="M75" s="436">
        <v>0</v>
      </c>
      <c r="N75" s="512"/>
    </row>
    <row r="76" spans="1:14" s="49" customFormat="1" ht="20.5" x14ac:dyDescent="0.35">
      <c r="A76" s="510"/>
      <c r="B76" s="508"/>
      <c r="C76" s="407"/>
      <c r="D76" s="404"/>
      <c r="E76" s="515"/>
      <c r="F76" s="517"/>
      <c r="G76" s="519"/>
      <c r="H76" s="521"/>
      <c r="I76" s="433"/>
      <c r="J76" s="401"/>
      <c r="K76" s="52" t="s">
        <v>128</v>
      </c>
      <c r="L76" s="138">
        <f>L75*0.5</f>
        <v>3.8461538461538273E-3</v>
      </c>
      <c r="M76" s="522"/>
      <c r="N76" s="513"/>
    </row>
    <row r="77" spans="1:14" s="49" customFormat="1" ht="90.75" customHeight="1" thickBot="1" x14ac:dyDescent="0.4">
      <c r="A77" s="511"/>
      <c r="B77" s="509"/>
      <c r="C77" s="408"/>
      <c r="D77" s="423"/>
      <c r="E77" s="516"/>
      <c r="F77" s="518"/>
      <c r="G77" s="520"/>
      <c r="H77" s="521"/>
      <c r="I77" s="433"/>
      <c r="J77" s="401"/>
      <c r="K77" s="52" t="s">
        <v>129</v>
      </c>
      <c r="L77" s="138">
        <v>0</v>
      </c>
      <c r="M77" s="523"/>
      <c r="N77" s="513"/>
    </row>
    <row r="78" spans="1:14" s="49" customFormat="1" ht="16.149999999999999" customHeight="1" thickBot="1" x14ac:dyDescent="0.4">
      <c r="A78" s="144"/>
      <c r="B78" s="148"/>
      <c r="C78" s="206" t="s">
        <v>138</v>
      </c>
      <c r="D78" s="206"/>
      <c r="E78" s="82"/>
      <c r="F78" s="82"/>
      <c r="G78" s="82"/>
      <c r="H78" s="82"/>
      <c r="I78" s="145">
        <f>SUM(I12:I77)</f>
        <v>78</v>
      </c>
      <c r="J78" s="84">
        <f>SUM(J12:J77)</f>
        <v>0.19999999999999898</v>
      </c>
      <c r="K78" s="478" t="s">
        <v>139</v>
      </c>
      <c r="L78" s="479"/>
      <c r="M78" s="84">
        <f>SUM(M12:M77)</f>
        <v>0</v>
      </c>
      <c r="N78" s="81"/>
    </row>
  </sheetData>
  <autoFilter ref="A11:N78" xr:uid="{F414276A-FCF1-4F53-A083-351B022F6550}"/>
  <mergeCells count="271">
    <mergeCell ref="E8:G9"/>
    <mergeCell ref="K9:N9"/>
    <mergeCell ref="M72:M74"/>
    <mergeCell ref="N72:N74"/>
    <mergeCell ref="J60:J62"/>
    <mergeCell ref="M60:M62"/>
    <mergeCell ref="N60:N62"/>
    <mergeCell ref="A63:A65"/>
    <mergeCell ref="B63:B65"/>
    <mergeCell ref="C63:C65"/>
    <mergeCell ref="D63:D65"/>
    <mergeCell ref="E63:E65"/>
    <mergeCell ref="F63:F65"/>
    <mergeCell ref="G63:G65"/>
    <mergeCell ref="H63:H65"/>
    <mergeCell ref="I63:I65"/>
    <mergeCell ref="J63:J65"/>
    <mergeCell ref="M63:M65"/>
    <mergeCell ref="N63:N65"/>
    <mergeCell ref="A60:A62"/>
    <mergeCell ref="B60:B62"/>
    <mergeCell ref="C60:C62"/>
    <mergeCell ref="D60:D62"/>
    <mergeCell ref="E60:E62"/>
    <mergeCell ref="F60:F62"/>
    <mergeCell ref="G60:G62"/>
    <mergeCell ref="H60:H62"/>
    <mergeCell ref="I60:I62"/>
    <mergeCell ref="H27:H29"/>
    <mergeCell ref="I27:I29"/>
    <mergeCell ref="J27:J29"/>
    <mergeCell ref="M27:M29"/>
    <mergeCell ref="N27:N29"/>
    <mergeCell ref="J36:J38"/>
    <mergeCell ref="M36:M38"/>
    <mergeCell ref="N36:N38"/>
    <mergeCell ref="M57:M59"/>
    <mergeCell ref="N57:N59"/>
    <mergeCell ref="I54:I56"/>
    <mergeCell ref="J54:J56"/>
    <mergeCell ref="M54:M56"/>
    <mergeCell ref="N54:N56"/>
    <mergeCell ref="M48:M50"/>
    <mergeCell ref="N48:N50"/>
    <mergeCell ref="G48:G50"/>
    <mergeCell ref="G51:G53"/>
    <mergeCell ref="H51:H53"/>
    <mergeCell ref="I51:I53"/>
    <mergeCell ref="N18:N20"/>
    <mergeCell ref="A33:A35"/>
    <mergeCell ref="B33:B35"/>
    <mergeCell ref="C33:C35"/>
    <mergeCell ref="D33:D35"/>
    <mergeCell ref="E33:E35"/>
    <mergeCell ref="F33:F35"/>
    <mergeCell ref="G33:G35"/>
    <mergeCell ref="H33:H35"/>
    <mergeCell ref="I33:I35"/>
    <mergeCell ref="J33:J35"/>
    <mergeCell ref="N33:N35"/>
    <mergeCell ref="M33:M35"/>
    <mergeCell ref="A18:A20"/>
    <mergeCell ref="C18:C20"/>
    <mergeCell ref="D18:D20"/>
    <mergeCell ref="E18:E20"/>
    <mergeCell ref="F18:F20"/>
    <mergeCell ref="G18:G20"/>
    <mergeCell ref="H18:H20"/>
    <mergeCell ref="I18:I20"/>
    <mergeCell ref="I30:I32"/>
    <mergeCell ref="J30:J32"/>
    <mergeCell ref="M30:M32"/>
    <mergeCell ref="H54:H56"/>
    <mergeCell ref="J18:J20"/>
    <mergeCell ref="H30:H32"/>
    <mergeCell ref="A27:A29"/>
    <mergeCell ref="F2:H2"/>
    <mergeCell ref="K78:L78"/>
    <mergeCell ref="G66:G68"/>
    <mergeCell ref="G69:G71"/>
    <mergeCell ref="A69:A71"/>
    <mergeCell ref="C69:C71"/>
    <mergeCell ref="D69:D71"/>
    <mergeCell ref="E69:E71"/>
    <mergeCell ref="F69:F71"/>
    <mergeCell ref="A66:A68"/>
    <mergeCell ref="C66:C68"/>
    <mergeCell ref="D66:D68"/>
    <mergeCell ref="E66:E68"/>
    <mergeCell ref="F66:F68"/>
    <mergeCell ref="B66:B68"/>
    <mergeCell ref="H57:H59"/>
    <mergeCell ref="I57:I59"/>
    <mergeCell ref="J57:J59"/>
    <mergeCell ref="H48:H50"/>
    <mergeCell ref="I48:I50"/>
    <mergeCell ref="E57:E59"/>
    <mergeCell ref="F57:F59"/>
    <mergeCell ref="G57:G59"/>
    <mergeCell ref="A54:A56"/>
    <mergeCell ref="C54:C56"/>
    <mergeCell ref="D54:D56"/>
    <mergeCell ref="E54:E56"/>
    <mergeCell ref="F54:F56"/>
    <mergeCell ref="G54:G56"/>
    <mergeCell ref="B54:B56"/>
    <mergeCell ref="B57:B59"/>
    <mergeCell ref="A57:A59"/>
    <mergeCell ref="C57:C59"/>
    <mergeCell ref="D57:D59"/>
    <mergeCell ref="H66:H68"/>
    <mergeCell ref="I66:I68"/>
    <mergeCell ref="J66:J68"/>
    <mergeCell ref="M66:M68"/>
    <mergeCell ref="N66:N68"/>
    <mergeCell ref="H69:H71"/>
    <mergeCell ref="I69:I71"/>
    <mergeCell ref="J69:J71"/>
    <mergeCell ref="M69:M71"/>
    <mergeCell ref="J51:J53"/>
    <mergeCell ref="M51:M53"/>
    <mergeCell ref="N51:N53"/>
    <mergeCell ref="E51:E53"/>
    <mergeCell ref="F51:F53"/>
    <mergeCell ref="A48:A50"/>
    <mergeCell ref="C48:C50"/>
    <mergeCell ref="D48:D50"/>
    <mergeCell ref="E48:E50"/>
    <mergeCell ref="F48:F50"/>
    <mergeCell ref="B48:B50"/>
    <mergeCell ref="B51:B53"/>
    <mergeCell ref="A51:A53"/>
    <mergeCell ref="C51:C53"/>
    <mergeCell ref="D51:D53"/>
    <mergeCell ref="J48:J50"/>
    <mergeCell ref="N42:N44"/>
    <mergeCell ref="B45:B47"/>
    <mergeCell ref="H42:H44"/>
    <mergeCell ref="I42:I44"/>
    <mergeCell ref="J42:J44"/>
    <mergeCell ref="M42:M44"/>
    <mergeCell ref="G42:G44"/>
    <mergeCell ref="G45:G47"/>
    <mergeCell ref="H45:H47"/>
    <mergeCell ref="I45:I47"/>
    <mergeCell ref="J45:J47"/>
    <mergeCell ref="M45:M47"/>
    <mergeCell ref="N45:N47"/>
    <mergeCell ref="A45:A47"/>
    <mergeCell ref="C45:C47"/>
    <mergeCell ref="D45:D47"/>
    <mergeCell ref="E45:E47"/>
    <mergeCell ref="F45:F47"/>
    <mergeCell ref="A42:A44"/>
    <mergeCell ref="C42:C44"/>
    <mergeCell ref="D42:D44"/>
    <mergeCell ref="E42:E44"/>
    <mergeCell ref="F42:F44"/>
    <mergeCell ref="B42:B44"/>
    <mergeCell ref="N30:N32"/>
    <mergeCell ref="G30:G32"/>
    <mergeCell ref="G39:G41"/>
    <mergeCell ref="H39:H41"/>
    <mergeCell ref="I39:I41"/>
    <mergeCell ref="J39:J41"/>
    <mergeCell ref="M39:M41"/>
    <mergeCell ref="N39:N41"/>
    <mergeCell ref="G36:G38"/>
    <mergeCell ref="H36:H38"/>
    <mergeCell ref="I36:I38"/>
    <mergeCell ref="A39:A41"/>
    <mergeCell ref="C39:C41"/>
    <mergeCell ref="D39:D41"/>
    <mergeCell ref="E39:E41"/>
    <mergeCell ref="F39:F41"/>
    <mergeCell ref="A30:A32"/>
    <mergeCell ref="C30:C32"/>
    <mergeCell ref="D30:D32"/>
    <mergeCell ref="E30:E32"/>
    <mergeCell ref="F30:F32"/>
    <mergeCell ref="B39:B41"/>
    <mergeCell ref="A36:A38"/>
    <mergeCell ref="B36:B38"/>
    <mergeCell ref="C36:C38"/>
    <mergeCell ref="D36:D38"/>
    <mergeCell ref="E36:E38"/>
    <mergeCell ref="F36:F38"/>
    <mergeCell ref="M24:M26"/>
    <mergeCell ref="N24:N26"/>
    <mergeCell ref="B18:B20"/>
    <mergeCell ref="A24:A26"/>
    <mergeCell ref="C24:C26"/>
    <mergeCell ref="D24:D26"/>
    <mergeCell ref="E24:E26"/>
    <mergeCell ref="F24:F26"/>
    <mergeCell ref="A21:A23"/>
    <mergeCell ref="C21:C23"/>
    <mergeCell ref="D21:D23"/>
    <mergeCell ref="E21:E23"/>
    <mergeCell ref="F21:F23"/>
    <mergeCell ref="H21:H23"/>
    <mergeCell ref="I21:I23"/>
    <mergeCell ref="J21:J23"/>
    <mergeCell ref="M21:M23"/>
    <mergeCell ref="N21:N23"/>
    <mergeCell ref="G21:G23"/>
    <mergeCell ref="G24:G26"/>
    <mergeCell ref="H24:H26"/>
    <mergeCell ref="I24:I26"/>
    <mergeCell ref="J24:J26"/>
    <mergeCell ref="M18:M20"/>
    <mergeCell ref="M12:M14"/>
    <mergeCell ref="N12:N14"/>
    <mergeCell ref="G12:G14"/>
    <mergeCell ref="M15:M17"/>
    <mergeCell ref="N15:N17"/>
    <mergeCell ref="H15:H17"/>
    <mergeCell ref="I15:I17"/>
    <mergeCell ref="B12:B14"/>
    <mergeCell ref="J15:J17"/>
    <mergeCell ref="C15:C17"/>
    <mergeCell ref="A12:A14"/>
    <mergeCell ref="C12:C14"/>
    <mergeCell ref="D12:D14"/>
    <mergeCell ref="E12:E14"/>
    <mergeCell ref="F12:F14"/>
    <mergeCell ref="H12:H14"/>
    <mergeCell ref="I12:I14"/>
    <mergeCell ref="J12:J14"/>
    <mergeCell ref="A10:A11"/>
    <mergeCell ref="E10:G10"/>
    <mergeCell ref="B10:D10"/>
    <mergeCell ref="A15:A17"/>
    <mergeCell ref="B15:B17"/>
    <mergeCell ref="D15:D17"/>
    <mergeCell ref="E15:E17"/>
    <mergeCell ref="F15:F17"/>
    <mergeCell ref="G15:G17"/>
    <mergeCell ref="B21:B23"/>
    <mergeCell ref="B24:B26"/>
    <mergeCell ref="B30:B32"/>
    <mergeCell ref="B27:B29"/>
    <mergeCell ref="C27:C29"/>
    <mergeCell ref="D27:D29"/>
    <mergeCell ref="E27:E29"/>
    <mergeCell ref="F27:F29"/>
    <mergeCell ref="G27:G29"/>
    <mergeCell ref="B69:B71"/>
    <mergeCell ref="A75:A77"/>
    <mergeCell ref="B75:B77"/>
    <mergeCell ref="N75:N77"/>
    <mergeCell ref="C75:C77"/>
    <mergeCell ref="D75:D77"/>
    <mergeCell ref="E75:E77"/>
    <mergeCell ref="F75:F77"/>
    <mergeCell ref="G75:G77"/>
    <mergeCell ref="H75:H77"/>
    <mergeCell ref="I75:I77"/>
    <mergeCell ref="J75:J77"/>
    <mergeCell ref="M75:M77"/>
    <mergeCell ref="N69:N71"/>
    <mergeCell ref="A72:A74"/>
    <mergeCell ref="B72:B74"/>
    <mergeCell ref="C72:C74"/>
    <mergeCell ref="D72:D74"/>
    <mergeCell ref="E72:E74"/>
    <mergeCell ref="F72:F74"/>
    <mergeCell ref="G72:G74"/>
    <mergeCell ref="H72:H74"/>
    <mergeCell ref="I72:I74"/>
    <mergeCell ref="J72:J74"/>
  </mergeCells>
  <phoneticPr fontId="34" type="noConversion"/>
  <dataValidations count="2">
    <dataValidation type="list" allowBlank="1" showInputMessage="1" showErrorMessage="1" sqref="M12:M77" xr:uid="{5A0A68B7-C53C-4CCB-B566-65CA0CCB5A6F}">
      <formula1>L12:L14</formula1>
    </dataValidation>
    <dataValidation type="list" allowBlank="1" showInputMessage="1" showErrorMessage="1" sqref="E12:E77" xr:uid="{2E5BF351-914A-4C0D-B99F-EEFD3D8CAB44}">
      <formula1>K12:K14</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35CA50A-51AA-4711-8299-BEB8009066B9}">
          <x14:formula1>
            <xm:f>'Response Guidlines'!$D$81:$D$87</xm:f>
          </x14:formula1>
          <xm:sqref>H12:H77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195C4-4895-4B76-84D5-BBB5DD992A8E}">
  <sheetPr>
    <tabColor rgb="FF003896"/>
    <pageSetUpPr fitToPage="1"/>
  </sheetPr>
  <dimension ref="A1:O199"/>
  <sheetViews>
    <sheetView zoomScale="130" zoomScaleNormal="130" workbookViewId="0">
      <pane xSplit="10" ySplit="16" topLeftCell="L117" activePane="bottomRight" state="frozen"/>
      <selection pane="topRight" activeCell="K1" sqref="K1"/>
      <selection pane="bottomLeft" activeCell="A17" sqref="A17"/>
      <selection pane="bottomRight" activeCell="N122" sqref="N122:N126"/>
    </sheetView>
  </sheetViews>
  <sheetFormatPr defaultColWidth="9.26953125" defaultRowHeight="10.5" x14ac:dyDescent="0.25"/>
  <cols>
    <col min="1" max="1" width="9.453125" style="154" customWidth="1"/>
    <col min="2" max="2" width="18.26953125" style="154" customWidth="1"/>
    <col min="3" max="3" width="53.453125" style="153" customWidth="1"/>
    <col min="4" max="4" width="37.7265625" style="153" customWidth="1"/>
    <col min="5" max="6" width="23.26953125" style="153" hidden="1" customWidth="1"/>
    <col min="7" max="7" width="25.26953125" style="153" hidden="1" customWidth="1"/>
    <col min="8" max="8" width="11.26953125" style="153" customWidth="1"/>
    <col min="9" max="9" width="7.54296875" style="153" customWidth="1"/>
    <col min="10" max="10" width="7.26953125" style="155" customWidth="1"/>
    <col min="11" max="11" width="23.7265625" style="156" customWidth="1"/>
    <col min="12" max="12" width="5.26953125" style="157" customWidth="1"/>
    <col min="13" max="13" width="5.453125" style="151" customWidth="1"/>
    <col min="14" max="14" width="40.453125" style="158" customWidth="1"/>
    <col min="15" max="15" width="8.54296875" style="151" customWidth="1"/>
    <col min="16" max="16384" width="9.26953125" style="151"/>
  </cols>
  <sheetData>
    <row r="1" spans="1:14" hidden="1" x14ac:dyDescent="0.25">
      <c r="A1" s="19"/>
      <c r="B1" s="19"/>
      <c r="C1" s="76"/>
      <c r="D1" s="76"/>
      <c r="E1" s="76"/>
      <c r="F1" s="76"/>
      <c r="G1" s="76"/>
      <c r="H1" s="76"/>
      <c r="I1" s="76"/>
      <c r="J1" s="17"/>
      <c r="K1" s="16"/>
      <c r="L1" s="15"/>
      <c r="M1" s="13"/>
      <c r="N1" s="14"/>
    </row>
    <row r="2" spans="1:14" ht="14.65" hidden="1" customHeight="1" x14ac:dyDescent="0.35">
      <c r="A2" s="19"/>
      <c r="B2" s="19"/>
      <c r="C2" s="11" t="s">
        <v>51</v>
      </c>
      <c r="D2" s="12" t="str">
        <f>'Scoring Summary'!C2</f>
        <v>&lt;insert before tender publication&gt;</v>
      </c>
      <c r="E2" s="46"/>
      <c r="F2" s="390" t="s">
        <v>140</v>
      </c>
      <c r="G2" s="390"/>
      <c r="H2" s="390"/>
      <c r="I2" s="75"/>
      <c r="J2" s="75"/>
      <c r="K2" s="46"/>
      <c r="L2" s="46"/>
      <c r="M2" s="46"/>
      <c r="N2" s="46"/>
    </row>
    <row r="3" spans="1:14" ht="14.65" hidden="1" customHeight="1" x14ac:dyDescent="0.35">
      <c r="A3" s="19"/>
      <c r="B3" s="19"/>
      <c r="C3" s="11" t="s">
        <v>54</v>
      </c>
      <c r="D3" s="12" t="str">
        <f>'Scoring Summary'!C3</f>
        <v>IT00641 Dx Commercial Energy Trader (Dx CET)</v>
      </c>
      <c r="E3" s="46"/>
      <c r="F3" s="83" t="s">
        <v>141</v>
      </c>
      <c r="G3" s="146" t="s">
        <v>167</v>
      </c>
      <c r="H3" s="75"/>
      <c r="I3" s="46"/>
      <c r="J3" s="46"/>
      <c r="K3" s="46"/>
      <c r="L3" s="46"/>
      <c r="M3" s="46"/>
      <c r="N3" s="46"/>
    </row>
    <row r="4" spans="1:14" ht="14.65" hidden="1" customHeight="1" x14ac:dyDescent="0.35">
      <c r="A4" s="19"/>
      <c r="B4" s="19"/>
      <c r="C4" s="11" t="s">
        <v>55</v>
      </c>
      <c r="D4" s="12">
        <f>'Scoring Summary'!C4</f>
        <v>0.7</v>
      </c>
      <c r="E4" s="46"/>
      <c r="F4" s="75"/>
      <c r="G4" s="75"/>
      <c r="H4" s="75"/>
      <c r="I4" s="46"/>
      <c r="J4" s="46"/>
      <c r="K4" s="46"/>
      <c r="L4" s="46"/>
      <c r="M4" s="46"/>
      <c r="N4" s="46"/>
    </row>
    <row r="5" spans="1:14" ht="14.65" hidden="1" customHeight="1" x14ac:dyDescent="0.35">
      <c r="A5" s="19"/>
      <c r="B5" s="19"/>
      <c r="C5" s="11" t="s">
        <v>84</v>
      </c>
      <c r="D5" s="10" t="str">
        <f>'Scoring Summary'!C5</f>
        <v>&lt;Evaluator to complete&gt;</v>
      </c>
      <c r="E5" s="46"/>
      <c r="F5" s="75"/>
      <c r="G5" s="75"/>
      <c r="H5" s="75"/>
      <c r="I5" s="46"/>
      <c r="J5" s="46"/>
      <c r="K5" s="46"/>
      <c r="L5" s="46"/>
      <c r="M5" s="46"/>
      <c r="N5" s="46"/>
    </row>
    <row r="6" spans="1:14" ht="14.65" hidden="1" customHeight="1" x14ac:dyDescent="0.35">
      <c r="A6" s="19"/>
      <c r="B6" s="19"/>
      <c r="C6" s="11" t="s">
        <v>58</v>
      </c>
      <c r="D6" s="10" t="str">
        <f>'Scoring Summary'!C6</f>
        <v>&lt;Evaluator to complete&gt;</v>
      </c>
      <c r="E6" s="46"/>
      <c r="F6" s="46"/>
      <c r="G6" s="46"/>
      <c r="H6" s="46"/>
      <c r="I6" s="46"/>
      <c r="J6" s="46"/>
      <c r="K6" s="46"/>
      <c r="L6" s="46"/>
      <c r="M6" s="46"/>
      <c r="N6" s="46"/>
    </row>
    <row r="7" spans="1:14" ht="14.65" hidden="1" customHeight="1" x14ac:dyDescent="0.35">
      <c r="A7" s="19"/>
      <c r="B7" s="19"/>
      <c r="C7" s="11" t="s">
        <v>59</v>
      </c>
      <c r="D7" s="10" t="str">
        <f>'Scoring Summary'!C7</f>
        <v>&lt;Evaluator to complete&gt;</v>
      </c>
      <c r="E7" s="46"/>
      <c r="F7" s="46"/>
      <c r="G7" s="46"/>
      <c r="H7" s="46"/>
      <c r="I7" s="46"/>
      <c r="J7" s="46"/>
      <c r="K7" s="46"/>
      <c r="L7" s="46"/>
      <c r="M7" s="46"/>
      <c r="N7" s="46"/>
    </row>
    <row r="8" spans="1:14" ht="27.65" hidden="1" customHeight="1" x14ac:dyDescent="0.35">
      <c r="A8" s="19"/>
      <c r="B8" s="19"/>
      <c r="C8" s="11" t="s">
        <v>60</v>
      </c>
      <c r="D8" s="10"/>
      <c r="E8" s="46"/>
      <c r="F8" s="46"/>
      <c r="G8" s="46"/>
      <c r="H8" s="46"/>
      <c r="I8" s="46"/>
      <c r="J8" s="46"/>
      <c r="K8" s="46"/>
      <c r="L8" s="46"/>
      <c r="M8" s="46"/>
      <c r="N8" s="46"/>
    </row>
    <row r="9" spans="1:14" ht="12" hidden="1" customHeight="1" x14ac:dyDescent="0.25">
      <c r="A9" s="19"/>
      <c r="B9" s="19"/>
      <c r="C9" s="18"/>
      <c r="D9" s="18"/>
      <c r="E9" s="18"/>
      <c r="F9" s="18"/>
      <c r="G9" s="18"/>
      <c r="H9" s="18"/>
      <c r="I9" s="18"/>
      <c r="J9" s="17"/>
      <c r="K9" s="16"/>
      <c r="L9" s="15"/>
      <c r="M9" s="13"/>
      <c r="N9" s="14"/>
    </row>
    <row r="10" spans="1:14" hidden="1" x14ac:dyDescent="0.25">
      <c r="A10" s="19"/>
      <c r="B10" s="19"/>
      <c r="C10" s="18"/>
      <c r="D10" s="18"/>
      <c r="E10" s="18"/>
      <c r="F10" s="18"/>
      <c r="G10" s="18"/>
      <c r="H10" s="18"/>
      <c r="I10" s="18"/>
      <c r="J10" s="17"/>
      <c r="K10" s="16"/>
      <c r="L10" s="15"/>
      <c r="M10" s="13"/>
      <c r="N10" s="14"/>
    </row>
    <row r="11" spans="1:14" hidden="1" x14ac:dyDescent="0.25">
      <c r="A11" s="19"/>
      <c r="B11" s="19"/>
      <c r="C11" s="30"/>
      <c r="D11" s="30"/>
      <c r="E11" s="30"/>
      <c r="F11" s="30"/>
      <c r="G11" s="30"/>
      <c r="H11" s="30"/>
      <c r="I11" s="30"/>
      <c r="J11" s="17"/>
      <c r="K11" s="16"/>
      <c r="L11" s="15"/>
      <c r="M11" s="13"/>
      <c r="N11" s="14"/>
    </row>
    <row r="12" spans="1:14" hidden="1" x14ac:dyDescent="0.25">
      <c r="A12" s="19"/>
      <c r="B12" s="19"/>
      <c r="C12" s="18"/>
      <c r="D12" s="18"/>
      <c r="E12" s="18"/>
      <c r="F12" s="18"/>
      <c r="G12" s="18"/>
      <c r="H12" s="18"/>
      <c r="I12" s="18"/>
      <c r="J12" s="17"/>
      <c r="K12" s="16"/>
      <c r="L12" s="15"/>
      <c r="M12" s="13"/>
      <c r="N12" s="14"/>
    </row>
    <row r="13" spans="1:14" hidden="1" x14ac:dyDescent="0.25">
      <c r="A13" s="19"/>
      <c r="B13" s="19"/>
      <c r="C13" s="30"/>
      <c r="D13" s="30"/>
      <c r="E13" s="30"/>
      <c r="F13" s="30"/>
      <c r="G13" s="30"/>
      <c r="H13" s="30"/>
      <c r="I13" s="30"/>
      <c r="J13" s="17"/>
      <c r="K13" s="16"/>
      <c r="L13" s="15"/>
      <c r="M13" s="13"/>
      <c r="N13" s="14"/>
    </row>
    <row r="14" spans="1:14" ht="11" hidden="1" thickBot="1" x14ac:dyDescent="0.3">
      <c r="A14" s="19"/>
      <c r="B14" s="19"/>
      <c r="C14" s="30"/>
      <c r="D14" s="30"/>
      <c r="E14" s="30"/>
      <c r="F14" s="30"/>
      <c r="G14" s="30"/>
      <c r="H14" s="30"/>
      <c r="I14" s="30"/>
      <c r="J14" s="17"/>
      <c r="K14" s="16"/>
      <c r="L14" s="15"/>
      <c r="M14" s="13"/>
      <c r="N14" s="14"/>
    </row>
    <row r="15" spans="1:14" ht="14.65" customHeight="1" x14ac:dyDescent="0.2">
      <c r="A15" s="447" t="s">
        <v>85</v>
      </c>
      <c r="B15" s="527" t="s">
        <v>86</v>
      </c>
      <c r="C15" s="503"/>
      <c r="D15" s="528"/>
      <c r="E15" s="504" t="s">
        <v>87</v>
      </c>
      <c r="F15" s="505"/>
      <c r="G15" s="506"/>
      <c r="H15" s="74"/>
      <c r="I15" s="74"/>
      <c r="J15" s="73" t="s">
        <v>88</v>
      </c>
      <c r="K15" s="72"/>
      <c r="L15" s="72"/>
      <c r="M15" s="72"/>
      <c r="N15" s="71"/>
    </row>
    <row r="16" spans="1:14" s="152" customFormat="1" ht="58.15" customHeight="1" thickBot="1" x14ac:dyDescent="0.4">
      <c r="A16" s="448"/>
      <c r="B16" s="149" t="s">
        <v>168</v>
      </c>
      <c r="C16" s="70" t="s">
        <v>89</v>
      </c>
      <c r="D16" s="147" t="s">
        <v>62</v>
      </c>
      <c r="E16" s="68" t="s">
        <v>90</v>
      </c>
      <c r="F16" s="67" t="s">
        <v>64</v>
      </c>
      <c r="G16" s="66" t="s">
        <v>218</v>
      </c>
      <c r="H16" s="150" t="s">
        <v>92</v>
      </c>
      <c r="I16" s="64" t="s">
        <v>93</v>
      </c>
      <c r="J16" s="63" t="s">
        <v>94</v>
      </c>
      <c r="K16" s="62" t="s">
        <v>95</v>
      </c>
      <c r="L16" s="61" t="s">
        <v>96</v>
      </c>
      <c r="M16" s="60" t="s">
        <v>67</v>
      </c>
      <c r="N16" s="59" t="s">
        <v>68</v>
      </c>
    </row>
    <row r="17" spans="1:14" s="152" customFormat="1" ht="33" customHeight="1" x14ac:dyDescent="0.35">
      <c r="A17" s="510" t="s">
        <v>169</v>
      </c>
      <c r="B17" s="544" t="s">
        <v>170</v>
      </c>
      <c r="C17" s="412" t="s">
        <v>219</v>
      </c>
      <c r="D17" s="438" t="s">
        <v>220</v>
      </c>
      <c r="E17" s="514"/>
      <c r="F17" s="444" t="s">
        <v>221</v>
      </c>
      <c r="G17" s="524"/>
      <c r="H17" s="535" t="s">
        <v>27</v>
      </c>
      <c r="I17" s="537">
        <f>IF(H17='Response Guidlines'!$D$81,'Response Guidlines'!$C$81, IF(H17='Response Guidlines'!$D$82,'Response Guidlines'!$C$82,IF(H17='Response Guidlines'!$D$83,'Response Guidlines'!$C$83,IF(H17='Response Guidlines'!$D$84,'Response Guidlines'!$C$84,IF(H17='Response Guidlines'!$D$85,'Response Guidlines'!$C$85,IF(H17='Response Guidlines'!$D$86,'Response Guidlines'!$C$86,IF(H17='Response Guidlines'!$D$87,'Response Guidlines'!$C$87,"No Rating")))))))</f>
        <v>4</v>
      </c>
      <c r="J17" s="539">
        <f>(I17/$I$192)/_xlfn.XLOOKUP('Scoring Summary'!$D$19,'Response Guidlines'!$D$92:$D$191,'Response Guidlines'!$C$92:$C$191,"",0,1)</f>
        <v>5.7142857142856857E-3</v>
      </c>
      <c r="K17" s="56" t="s">
        <v>222</v>
      </c>
      <c r="L17" s="136">
        <f>J17</f>
        <v>5.7142857142856857E-3</v>
      </c>
      <c r="M17" s="541"/>
      <c r="N17" s="437"/>
    </row>
    <row r="18" spans="1:14" s="152" customFormat="1" ht="56.25" hidden="1" customHeight="1" x14ac:dyDescent="0.35">
      <c r="A18" s="510"/>
      <c r="B18" s="544"/>
      <c r="C18" s="412"/>
      <c r="D18" s="404"/>
      <c r="E18" s="515"/>
      <c r="F18" s="444"/>
      <c r="G18" s="525"/>
      <c r="H18" s="536"/>
      <c r="I18" s="538"/>
      <c r="J18" s="540"/>
      <c r="K18" s="52"/>
      <c r="L18" s="138">
        <f>L17*0.75</f>
        <v>4.2857142857142642E-3</v>
      </c>
      <c r="M18" s="542"/>
      <c r="N18" s="437"/>
    </row>
    <row r="19" spans="1:14" s="152" customFormat="1" ht="56.25" customHeight="1" x14ac:dyDescent="0.35">
      <c r="A19" s="510"/>
      <c r="B19" s="544"/>
      <c r="C19" s="412"/>
      <c r="D19" s="404"/>
      <c r="E19" s="515"/>
      <c r="F19" s="444"/>
      <c r="G19" s="525"/>
      <c r="H19" s="536"/>
      <c r="I19" s="538"/>
      <c r="J19" s="540"/>
      <c r="K19" s="52" t="s">
        <v>223</v>
      </c>
      <c r="L19" s="138">
        <f>L17*0.5</f>
        <v>2.8571428571428428E-3</v>
      </c>
      <c r="M19" s="542"/>
      <c r="N19" s="437"/>
    </row>
    <row r="20" spans="1:14" s="152" customFormat="1" ht="56.25" hidden="1" customHeight="1" x14ac:dyDescent="0.35">
      <c r="A20" s="510"/>
      <c r="B20" s="544"/>
      <c r="C20" s="412"/>
      <c r="D20" s="404"/>
      <c r="E20" s="515"/>
      <c r="F20" s="444"/>
      <c r="G20" s="525"/>
      <c r="H20" s="536"/>
      <c r="I20" s="538"/>
      <c r="J20" s="540"/>
      <c r="K20" s="52"/>
      <c r="L20" s="138">
        <f>L17*0.25</f>
        <v>1.4285714285714214E-3</v>
      </c>
      <c r="M20" s="542"/>
      <c r="N20" s="437"/>
    </row>
    <row r="21" spans="1:14" s="152" customFormat="1" ht="97.5" customHeight="1" x14ac:dyDescent="0.35">
      <c r="A21" s="511"/>
      <c r="B21" s="545"/>
      <c r="C21" s="412"/>
      <c r="D21" s="404"/>
      <c r="E21" s="516"/>
      <c r="F21" s="445"/>
      <c r="G21" s="526"/>
      <c r="H21" s="536"/>
      <c r="I21" s="538"/>
      <c r="J21" s="540"/>
      <c r="K21" s="52" t="s">
        <v>224</v>
      </c>
      <c r="L21" s="138">
        <v>0</v>
      </c>
      <c r="M21" s="543"/>
      <c r="N21" s="437"/>
    </row>
    <row r="22" spans="1:14" s="152" customFormat="1" ht="22.5" customHeight="1" x14ac:dyDescent="0.35">
      <c r="A22" s="510" t="s">
        <v>174</v>
      </c>
      <c r="B22" s="544" t="s">
        <v>170</v>
      </c>
      <c r="C22" s="445" t="s">
        <v>225</v>
      </c>
      <c r="D22" s="438" t="s">
        <v>220</v>
      </c>
      <c r="E22" s="514"/>
      <c r="F22" s="446"/>
      <c r="G22" s="524"/>
      <c r="H22" s="536" t="s">
        <v>27</v>
      </c>
      <c r="I22" s="537">
        <f>IF(H22='Response Guidlines'!$D$81,'Response Guidlines'!$C$81, IF(H22='Response Guidlines'!$D$82,'Response Guidlines'!$C$82,IF(H22='Response Guidlines'!$D$83,'Response Guidlines'!$C$83,IF(H22='Response Guidlines'!$D$84,'Response Guidlines'!$C$84,IF(H22='Response Guidlines'!$D$85,'Response Guidlines'!$C$85,IF(H22='Response Guidlines'!$D$86,'Response Guidlines'!$C$86,IF(H22='Response Guidlines'!$D$87,'Response Guidlines'!$C$87,"No Rating")))))))</f>
        <v>4</v>
      </c>
      <c r="J22" s="539">
        <f>(I22/$I$192)/_xlfn.XLOOKUP('Scoring Summary'!$D$19,'Response Guidlines'!$D$92:$D$191,'Response Guidlines'!$C$92:$C$191,"",0,1)</f>
        <v>5.7142857142856857E-3</v>
      </c>
      <c r="K22" s="56" t="s">
        <v>222</v>
      </c>
      <c r="L22" s="136">
        <f>J22</f>
        <v>5.7142857142856857E-3</v>
      </c>
      <c r="M22" s="543"/>
      <c r="N22" s="547"/>
    </row>
    <row r="23" spans="1:14" s="152" customFormat="1" ht="11.25" hidden="1" customHeight="1" x14ac:dyDescent="0.35">
      <c r="A23" s="510"/>
      <c r="B23" s="544"/>
      <c r="C23" s="412"/>
      <c r="D23" s="404"/>
      <c r="E23" s="515"/>
      <c r="F23" s="444"/>
      <c r="G23" s="525"/>
      <c r="H23" s="536"/>
      <c r="I23" s="538"/>
      <c r="J23" s="540"/>
      <c r="K23" s="52"/>
      <c r="L23" s="138">
        <f>L22*0.75</f>
        <v>4.2857142857142642E-3</v>
      </c>
      <c r="M23" s="546"/>
      <c r="N23" s="484"/>
    </row>
    <row r="24" spans="1:14" s="152" customFormat="1" ht="50.5" x14ac:dyDescent="0.35">
      <c r="A24" s="510"/>
      <c r="B24" s="544"/>
      <c r="C24" s="412"/>
      <c r="D24" s="404"/>
      <c r="E24" s="515"/>
      <c r="F24" s="444"/>
      <c r="G24" s="525"/>
      <c r="H24" s="536"/>
      <c r="I24" s="538"/>
      <c r="J24" s="540"/>
      <c r="K24" s="52" t="s">
        <v>223</v>
      </c>
      <c r="L24" s="138">
        <f>L22*0.5</f>
        <v>2.8571428571428428E-3</v>
      </c>
      <c r="M24" s="546"/>
      <c r="N24" s="484"/>
    </row>
    <row r="25" spans="1:14" s="152" customFormat="1" ht="11.25" hidden="1" customHeight="1" x14ac:dyDescent="0.35">
      <c r="A25" s="510"/>
      <c r="B25" s="544"/>
      <c r="C25" s="412"/>
      <c r="D25" s="404"/>
      <c r="E25" s="515"/>
      <c r="F25" s="444"/>
      <c r="G25" s="525"/>
      <c r="H25" s="536"/>
      <c r="I25" s="538"/>
      <c r="J25" s="540"/>
      <c r="K25" s="52"/>
      <c r="L25" s="138">
        <f>L22*0.25</f>
        <v>1.4285714285714214E-3</v>
      </c>
      <c r="M25" s="546"/>
      <c r="N25" s="484"/>
    </row>
    <row r="26" spans="1:14" s="152" customFormat="1" ht="50.5" x14ac:dyDescent="0.35">
      <c r="A26" s="511"/>
      <c r="B26" s="545"/>
      <c r="C26" s="412"/>
      <c r="D26" s="404"/>
      <c r="E26" s="516"/>
      <c r="F26" s="445"/>
      <c r="G26" s="526"/>
      <c r="H26" s="536"/>
      <c r="I26" s="538"/>
      <c r="J26" s="540"/>
      <c r="K26" s="52" t="s">
        <v>224</v>
      </c>
      <c r="L26" s="138">
        <v>0</v>
      </c>
      <c r="M26" s="546"/>
      <c r="N26" s="484"/>
    </row>
    <row r="27" spans="1:14" s="152" customFormat="1" ht="22.5" customHeight="1" x14ac:dyDescent="0.35">
      <c r="A27" s="510" t="s">
        <v>176</v>
      </c>
      <c r="B27" s="544" t="s">
        <v>170</v>
      </c>
      <c r="C27" s="412" t="s">
        <v>226</v>
      </c>
      <c r="D27" s="438" t="s">
        <v>220</v>
      </c>
      <c r="E27" s="514"/>
      <c r="F27" s="446"/>
      <c r="G27" s="524"/>
      <c r="H27" s="536" t="s">
        <v>27</v>
      </c>
      <c r="I27" s="537">
        <f>IF(H27='Response Guidlines'!$D$81,'Response Guidlines'!$C$81, IF(H27='Response Guidlines'!$D$82,'Response Guidlines'!$C$82,IF(H27='Response Guidlines'!$D$83,'Response Guidlines'!$C$83,IF(H27='Response Guidlines'!$D$84,'Response Guidlines'!$C$84,IF(H27='Response Guidlines'!$D$85,'Response Guidlines'!$C$85,IF(H27='Response Guidlines'!$D$86,'Response Guidlines'!$C$86,IF(H27='Response Guidlines'!$D$87,'Response Guidlines'!$C$87,"No Rating")))))))</f>
        <v>4</v>
      </c>
      <c r="J27" s="539">
        <f>(I27/$I$192)/_xlfn.XLOOKUP('Scoring Summary'!$D$19,'Response Guidlines'!$D$92:$D$191,'Response Guidlines'!$C$92:$C$191,"",0,1)</f>
        <v>5.7142857142856857E-3</v>
      </c>
      <c r="K27" s="56" t="s">
        <v>222</v>
      </c>
      <c r="L27" s="136">
        <f>J27</f>
        <v>5.7142857142856857E-3</v>
      </c>
      <c r="M27" s="546"/>
      <c r="N27" s="548" t="s">
        <v>227</v>
      </c>
    </row>
    <row r="28" spans="1:14" s="152" customFormat="1" ht="11.25" hidden="1" customHeight="1" x14ac:dyDescent="0.35">
      <c r="A28" s="510"/>
      <c r="B28" s="544"/>
      <c r="C28" s="412"/>
      <c r="D28" s="404"/>
      <c r="E28" s="515"/>
      <c r="F28" s="444"/>
      <c r="G28" s="525"/>
      <c r="H28" s="536"/>
      <c r="I28" s="538"/>
      <c r="J28" s="540"/>
      <c r="K28" s="52"/>
      <c r="L28" s="138">
        <f>L27*0.75</f>
        <v>4.2857142857142642E-3</v>
      </c>
      <c r="M28" s="546"/>
      <c r="N28" s="548"/>
    </row>
    <row r="29" spans="1:14" s="152" customFormat="1" ht="50.5" x14ac:dyDescent="0.35">
      <c r="A29" s="510"/>
      <c r="B29" s="544"/>
      <c r="C29" s="446"/>
      <c r="D29" s="404"/>
      <c r="E29" s="515"/>
      <c r="F29" s="444"/>
      <c r="G29" s="525"/>
      <c r="H29" s="536"/>
      <c r="I29" s="538"/>
      <c r="J29" s="540"/>
      <c r="K29" s="52" t="s">
        <v>223</v>
      </c>
      <c r="L29" s="138">
        <f>L27*0.5</f>
        <v>2.8571428571428428E-3</v>
      </c>
      <c r="M29" s="541"/>
      <c r="N29" s="549"/>
    </row>
    <row r="30" spans="1:14" s="152" customFormat="1" ht="11.25" hidden="1" customHeight="1" x14ac:dyDescent="0.35">
      <c r="A30" s="510"/>
      <c r="B30" s="544"/>
      <c r="C30" s="446"/>
      <c r="D30" s="404"/>
      <c r="E30" s="515"/>
      <c r="F30" s="444"/>
      <c r="G30" s="525"/>
      <c r="H30" s="536"/>
      <c r="I30" s="538"/>
      <c r="J30" s="540"/>
      <c r="K30" s="52"/>
      <c r="L30" s="138">
        <f>L27*0.25</f>
        <v>1.4285714285714214E-3</v>
      </c>
      <c r="M30" s="541"/>
      <c r="N30" s="549"/>
    </row>
    <row r="31" spans="1:14" s="152" customFormat="1" ht="50.5" x14ac:dyDescent="0.35">
      <c r="A31" s="511"/>
      <c r="B31" s="545"/>
      <c r="C31" s="412"/>
      <c r="D31" s="404"/>
      <c r="E31" s="516"/>
      <c r="F31" s="445"/>
      <c r="G31" s="526"/>
      <c r="H31" s="536"/>
      <c r="I31" s="538"/>
      <c r="J31" s="540"/>
      <c r="K31" s="52" t="s">
        <v>224</v>
      </c>
      <c r="L31" s="138">
        <v>0</v>
      </c>
      <c r="M31" s="546"/>
      <c r="N31" s="548"/>
    </row>
    <row r="32" spans="1:14" s="152" customFormat="1" ht="22.5" customHeight="1" x14ac:dyDescent="0.35">
      <c r="A32" s="510" t="s">
        <v>178</v>
      </c>
      <c r="B32" s="544" t="s">
        <v>170</v>
      </c>
      <c r="C32" s="412" t="s">
        <v>228</v>
      </c>
      <c r="D32" s="438" t="s">
        <v>220</v>
      </c>
      <c r="E32" s="514"/>
      <c r="F32" s="446"/>
      <c r="G32" s="524"/>
      <c r="H32" s="536" t="s">
        <v>27</v>
      </c>
      <c r="I32" s="537">
        <f>IF(H32='Response Guidlines'!$D$81,'Response Guidlines'!$C$81, IF(H32='Response Guidlines'!$D$82,'Response Guidlines'!$C$82,IF(H32='Response Guidlines'!$D$83,'Response Guidlines'!$C$83,IF(H32='Response Guidlines'!$D$84,'Response Guidlines'!$C$84,IF(H32='Response Guidlines'!$D$85,'Response Guidlines'!$C$85,IF(H32='Response Guidlines'!$D$86,'Response Guidlines'!$C$86,IF(H32='Response Guidlines'!$D$87,'Response Guidlines'!$C$87,"No Rating")))))))</f>
        <v>4</v>
      </c>
      <c r="J32" s="539">
        <f>(I32/$I$192)/_xlfn.XLOOKUP('Scoring Summary'!$D$19,'Response Guidlines'!$D$92:$D$191,'Response Guidlines'!$C$92:$C$191,"",0,1)</f>
        <v>5.7142857142856857E-3</v>
      </c>
      <c r="K32" s="56" t="s">
        <v>222</v>
      </c>
      <c r="L32" s="136">
        <f>J32</f>
        <v>5.7142857142856857E-3</v>
      </c>
      <c r="M32" s="543"/>
      <c r="N32" s="548" t="s">
        <v>229</v>
      </c>
    </row>
    <row r="33" spans="1:14" s="152" customFormat="1" ht="11.25" hidden="1" customHeight="1" x14ac:dyDescent="0.35">
      <c r="A33" s="510"/>
      <c r="B33" s="544"/>
      <c r="C33" s="412"/>
      <c r="D33" s="404"/>
      <c r="E33" s="515"/>
      <c r="F33" s="444"/>
      <c r="G33" s="525"/>
      <c r="H33" s="536"/>
      <c r="I33" s="538"/>
      <c r="J33" s="540"/>
      <c r="K33" s="52"/>
      <c r="L33" s="138">
        <f>L32*0.75</f>
        <v>4.2857142857142642E-3</v>
      </c>
      <c r="M33" s="546"/>
      <c r="N33" s="548"/>
    </row>
    <row r="34" spans="1:14" s="152" customFormat="1" ht="50.5" x14ac:dyDescent="0.35">
      <c r="A34" s="510"/>
      <c r="B34" s="544"/>
      <c r="C34" s="446"/>
      <c r="D34" s="404"/>
      <c r="E34" s="515"/>
      <c r="F34" s="444"/>
      <c r="G34" s="525"/>
      <c r="H34" s="536"/>
      <c r="I34" s="538"/>
      <c r="J34" s="540"/>
      <c r="K34" s="52" t="s">
        <v>223</v>
      </c>
      <c r="L34" s="138">
        <f>L32*0.5</f>
        <v>2.8571428571428428E-3</v>
      </c>
      <c r="M34" s="546"/>
      <c r="N34" s="549"/>
    </row>
    <row r="35" spans="1:14" s="152" customFormat="1" ht="11.25" hidden="1" customHeight="1" x14ac:dyDescent="0.35">
      <c r="A35" s="510"/>
      <c r="B35" s="544"/>
      <c r="C35" s="446"/>
      <c r="D35" s="404"/>
      <c r="E35" s="515"/>
      <c r="F35" s="444"/>
      <c r="G35" s="525"/>
      <c r="H35" s="536"/>
      <c r="I35" s="538"/>
      <c r="J35" s="540"/>
      <c r="K35" s="52"/>
      <c r="L35" s="138">
        <f>L32*0.25</f>
        <v>1.4285714285714214E-3</v>
      </c>
      <c r="M35" s="546"/>
      <c r="N35" s="549"/>
    </row>
    <row r="36" spans="1:14" s="152" customFormat="1" ht="50.5" x14ac:dyDescent="0.35">
      <c r="A36" s="511"/>
      <c r="B36" s="545"/>
      <c r="C36" s="412"/>
      <c r="D36" s="404"/>
      <c r="E36" s="516"/>
      <c r="F36" s="445"/>
      <c r="G36" s="526"/>
      <c r="H36" s="536"/>
      <c r="I36" s="538"/>
      <c r="J36" s="540"/>
      <c r="K36" s="52" t="s">
        <v>224</v>
      </c>
      <c r="L36" s="138">
        <v>0</v>
      </c>
      <c r="M36" s="546"/>
      <c r="N36" s="548"/>
    </row>
    <row r="37" spans="1:14" s="152" customFormat="1" ht="20.5" x14ac:dyDescent="0.35">
      <c r="A37" s="510" t="s">
        <v>180</v>
      </c>
      <c r="B37" s="544" t="s">
        <v>170</v>
      </c>
      <c r="C37" s="412" t="s">
        <v>230</v>
      </c>
      <c r="D37" s="438" t="s">
        <v>220</v>
      </c>
      <c r="E37" s="514"/>
      <c r="F37" s="446"/>
      <c r="G37" s="524"/>
      <c r="H37" s="536" t="s">
        <v>27</v>
      </c>
      <c r="I37" s="537">
        <f>IF(H37='Response Guidlines'!$D$81,'Response Guidlines'!$C$81, IF(H37='Response Guidlines'!$D$82,'Response Guidlines'!$C$82,IF(H37='Response Guidlines'!$D$83,'Response Guidlines'!$C$83,IF(H37='Response Guidlines'!$D$84,'Response Guidlines'!$C$84,IF(H37='Response Guidlines'!$D$85,'Response Guidlines'!$C$85,IF(H37='Response Guidlines'!$D$86,'Response Guidlines'!$C$86,IF(H37='Response Guidlines'!$D$87,'Response Guidlines'!$C$87,"No Rating")))))))</f>
        <v>4</v>
      </c>
      <c r="J37" s="539">
        <f>(I37/$I$192)/_xlfn.XLOOKUP('Scoring Summary'!$D$19,'Response Guidlines'!$D$92:$D$191,'Response Guidlines'!$C$92:$C$191,"",0,1)</f>
        <v>5.7142857142856857E-3</v>
      </c>
      <c r="K37" s="56" t="s">
        <v>222</v>
      </c>
      <c r="L37" s="136">
        <f>J37</f>
        <v>5.7142857142856857E-3</v>
      </c>
      <c r="M37" s="546"/>
      <c r="N37" s="437"/>
    </row>
    <row r="38" spans="1:14" s="152" customFormat="1" ht="10" hidden="1" x14ac:dyDescent="0.35">
      <c r="A38" s="510"/>
      <c r="B38" s="544"/>
      <c r="C38" s="412"/>
      <c r="D38" s="404"/>
      <c r="E38" s="515"/>
      <c r="F38" s="444"/>
      <c r="G38" s="525"/>
      <c r="H38" s="536"/>
      <c r="I38" s="538"/>
      <c r="J38" s="540"/>
      <c r="K38" s="52"/>
      <c r="L38" s="138">
        <f>L37*0.75</f>
        <v>4.2857142857142642E-3</v>
      </c>
      <c r="M38" s="546"/>
      <c r="N38" s="437"/>
    </row>
    <row r="39" spans="1:14" s="152" customFormat="1" ht="50.5" x14ac:dyDescent="0.35">
      <c r="A39" s="510"/>
      <c r="B39" s="544"/>
      <c r="C39" s="446"/>
      <c r="D39" s="404"/>
      <c r="E39" s="515"/>
      <c r="F39" s="444"/>
      <c r="G39" s="525"/>
      <c r="H39" s="536"/>
      <c r="I39" s="538"/>
      <c r="J39" s="540"/>
      <c r="K39" s="52" t="s">
        <v>223</v>
      </c>
      <c r="L39" s="138">
        <f>L37*0.5</f>
        <v>2.8571428571428428E-3</v>
      </c>
      <c r="M39" s="541"/>
      <c r="N39" s="550"/>
    </row>
    <row r="40" spans="1:14" s="152" customFormat="1" ht="10" hidden="1" x14ac:dyDescent="0.35">
      <c r="A40" s="510"/>
      <c r="B40" s="544"/>
      <c r="C40" s="446"/>
      <c r="D40" s="404"/>
      <c r="E40" s="515"/>
      <c r="F40" s="444"/>
      <c r="G40" s="525"/>
      <c r="H40" s="536"/>
      <c r="I40" s="538"/>
      <c r="J40" s="540"/>
      <c r="K40" s="52"/>
      <c r="L40" s="138">
        <f>L37*0.25</f>
        <v>1.4285714285714214E-3</v>
      </c>
      <c r="M40" s="541"/>
      <c r="N40" s="550"/>
    </row>
    <row r="41" spans="1:14" s="152" customFormat="1" ht="50.5" x14ac:dyDescent="0.35">
      <c r="A41" s="511"/>
      <c r="B41" s="545"/>
      <c r="C41" s="412"/>
      <c r="D41" s="404"/>
      <c r="E41" s="516"/>
      <c r="F41" s="445"/>
      <c r="G41" s="526"/>
      <c r="H41" s="536"/>
      <c r="I41" s="538"/>
      <c r="J41" s="540"/>
      <c r="K41" s="52" t="s">
        <v>224</v>
      </c>
      <c r="L41" s="138">
        <v>0</v>
      </c>
      <c r="M41" s="546"/>
      <c r="N41" s="437"/>
    </row>
    <row r="42" spans="1:14" s="152" customFormat="1" ht="22.5" customHeight="1" x14ac:dyDescent="0.35">
      <c r="A42" s="510" t="s">
        <v>183</v>
      </c>
      <c r="B42" s="544" t="s">
        <v>231</v>
      </c>
      <c r="C42" s="445" t="s">
        <v>232</v>
      </c>
      <c r="D42" s="438" t="s">
        <v>220</v>
      </c>
      <c r="E42" s="514"/>
      <c r="F42" s="446"/>
      <c r="G42" s="524"/>
      <c r="H42" s="536" t="s">
        <v>27</v>
      </c>
      <c r="I42" s="537">
        <f>IF(H42='Response Guidlines'!$D$81,'Response Guidlines'!$C$81, IF(H42='Response Guidlines'!$D$82,'Response Guidlines'!$C$82,IF(H42='Response Guidlines'!$D$83,'Response Guidlines'!$C$83,IF(H42='Response Guidlines'!$D$84,'Response Guidlines'!$C$84,IF(H42='Response Guidlines'!$D$85,'Response Guidlines'!$C$85,IF(H42='Response Guidlines'!$D$86,'Response Guidlines'!$C$86,IF(H42='Response Guidlines'!$D$87,'Response Guidlines'!$C$87,"No Rating")))))))</f>
        <v>4</v>
      </c>
      <c r="J42" s="539">
        <f>(I42/$I$192)/_xlfn.XLOOKUP('Scoring Summary'!$D$19,'Response Guidlines'!$D$92:$D$191,'Response Guidlines'!$C$92:$C$191,"",0,1)</f>
        <v>5.7142857142856857E-3</v>
      </c>
      <c r="K42" s="56" t="s">
        <v>222</v>
      </c>
      <c r="L42" s="136">
        <f>J42</f>
        <v>5.7142857142856857E-3</v>
      </c>
      <c r="M42" s="543"/>
      <c r="N42" s="551"/>
    </row>
    <row r="43" spans="1:14" s="152" customFormat="1" ht="11.25" hidden="1" customHeight="1" x14ac:dyDescent="0.35">
      <c r="A43" s="510"/>
      <c r="B43" s="544"/>
      <c r="C43" s="412"/>
      <c r="D43" s="404"/>
      <c r="E43" s="515"/>
      <c r="F43" s="444"/>
      <c r="G43" s="525"/>
      <c r="H43" s="536"/>
      <c r="I43" s="538"/>
      <c r="J43" s="540"/>
      <c r="K43" s="52"/>
      <c r="L43" s="138">
        <f>L42*0.75</f>
        <v>4.2857142857142642E-3</v>
      </c>
      <c r="M43" s="546"/>
      <c r="N43" s="437"/>
    </row>
    <row r="44" spans="1:14" s="152" customFormat="1" ht="50.5" x14ac:dyDescent="0.35">
      <c r="A44" s="510"/>
      <c r="B44" s="544"/>
      <c r="C44" s="412"/>
      <c r="D44" s="404"/>
      <c r="E44" s="515"/>
      <c r="F44" s="444"/>
      <c r="G44" s="525"/>
      <c r="H44" s="536"/>
      <c r="I44" s="538"/>
      <c r="J44" s="540"/>
      <c r="K44" s="52" t="s">
        <v>223</v>
      </c>
      <c r="L44" s="138">
        <f>L42*0.5</f>
        <v>2.8571428571428428E-3</v>
      </c>
      <c r="M44" s="546"/>
      <c r="N44" s="437"/>
    </row>
    <row r="45" spans="1:14" s="152" customFormat="1" ht="11.25" hidden="1" customHeight="1" x14ac:dyDescent="0.35">
      <c r="A45" s="510"/>
      <c r="B45" s="544"/>
      <c r="C45" s="412"/>
      <c r="D45" s="404"/>
      <c r="E45" s="515"/>
      <c r="F45" s="444"/>
      <c r="G45" s="525"/>
      <c r="H45" s="536"/>
      <c r="I45" s="538"/>
      <c r="J45" s="540"/>
      <c r="K45" s="52"/>
      <c r="L45" s="138">
        <f>L42*0.25</f>
        <v>1.4285714285714214E-3</v>
      </c>
      <c r="M45" s="546"/>
      <c r="N45" s="437"/>
    </row>
    <row r="46" spans="1:14" s="152" customFormat="1" ht="50.5" x14ac:dyDescent="0.35">
      <c r="A46" s="511"/>
      <c r="B46" s="545"/>
      <c r="C46" s="412"/>
      <c r="D46" s="404"/>
      <c r="E46" s="516"/>
      <c r="F46" s="445"/>
      <c r="G46" s="526"/>
      <c r="H46" s="536"/>
      <c r="I46" s="538"/>
      <c r="J46" s="540"/>
      <c r="K46" s="52" t="s">
        <v>224</v>
      </c>
      <c r="L46" s="138">
        <v>0</v>
      </c>
      <c r="M46" s="546"/>
      <c r="N46" s="437"/>
    </row>
    <row r="47" spans="1:14" s="152" customFormat="1" ht="20.5" x14ac:dyDescent="0.35">
      <c r="A47" s="510" t="s">
        <v>185</v>
      </c>
      <c r="B47" s="544" t="s">
        <v>233</v>
      </c>
      <c r="C47" s="552" t="s">
        <v>234</v>
      </c>
      <c r="D47" s="438" t="s">
        <v>220</v>
      </c>
      <c r="E47" s="514"/>
      <c r="F47" s="446"/>
      <c r="G47" s="524"/>
      <c r="H47" s="536" t="s">
        <v>27</v>
      </c>
      <c r="I47" s="537">
        <f>IF(H47='Response Guidlines'!$D$81,'Response Guidlines'!$C$81, IF(H47='Response Guidlines'!$D$82,'Response Guidlines'!$C$82,IF(H47='Response Guidlines'!$D$83,'Response Guidlines'!$C$83,IF(H47='Response Guidlines'!$D$84,'Response Guidlines'!$C$84,IF(H47='Response Guidlines'!$D$85,'Response Guidlines'!$C$85,IF(H47='Response Guidlines'!$D$86,'Response Guidlines'!$C$86,IF(H47='Response Guidlines'!$D$87,'Response Guidlines'!$C$87,"No Rating")))))))</f>
        <v>4</v>
      </c>
      <c r="J47" s="539">
        <f>(I47/$I$192)/_xlfn.XLOOKUP('Scoring Summary'!$D$19,'Response Guidlines'!$D$92:$D$191,'Response Guidlines'!$C$92:$C$191,"",0,1)</f>
        <v>5.7142857142856857E-3</v>
      </c>
      <c r="K47" s="56" t="s">
        <v>222</v>
      </c>
      <c r="L47" s="136">
        <f>J47</f>
        <v>5.7142857142856857E-3</v>
      </c>
      <c r="M47" s="546"/>
      <c r="N47" s="548" t="s">
        <v>235</v>
      </c>
    </row>
    <row r="48" spans="1:14" s="152" customFormat="1" ht="10" hidden="1" x14ac:dyDescent="0.35">
      <c r="A48" s="510"/>
      <c r="B48" s="544"/>
      <c r="C48" s="552"/>
      <c r="D48" s="404"/>
      <c r="E48" s="515"/>
      <c r="F48" s="444"/>
      <c r="G48" s="525"/>
      <c r="H48" s="536"/>
      <c r="I48" s="538"/>
      <c r="J48" s="540"/>
      <c r="K48" s="52"/>
      <c r="L48" s="138">
        <f>L47*0.75</f>
        <v>4.2857142857142642E-3</v>
      </c>
      <c r="M48" s="546"/>
      <c r="N48" s="548"/>
    </row>
    <row r="49" spans="1:14" s="152" customFormat="1" ht="50.5" x14ac:dyDescent="0.35">
      <c r="A49" s="510"/>
      <c r="B49" s="544"/>
      <c r="C49" s="553"/>
      <c r="D49" s="404"/>
      <c r="E49" s="515"/>
      <c r="F49" s="444"/>
      <c r="G49" s="525"/>
      <c r="H49" s="536"/>
      <c r="I49" s="538"/>
      <c r="J49" s="540"/>
      <c r="K49" s="52" t="s">
        <v>223</v>
      </c>
      <c r="L49" s="138">
        <f>L47*0.5</f>
        <v>2.8571428571428428E-3</v>
      </c>
      <c r="M49" s="541"/>
      <c r="N49" s="549"/>
    </row>
    <row r="50" spans="1:14" s="152" customFormat="1" ht="10" hidden="1" x14ac:dyDescent="0.35">
      <c r="A50" s="510"/>
      <c r="B50" s="544"/>
      <c r="C50" s="553"/>
      <c r="D50" s="404"/>
      <c r="E50" s="515"/>
      <c r="F50" s="444"/>
      <c r="G50" s="525"/>
      <c r="H50" s="536"/>
      <c r="I50" s="538"/>
      <c r="J50" s="540"/>
      <c r="K50" s="52"/>
      <c r="L50" s="138">
        <f>L47*0.25</f>
        <v>1.4285714285714214E-3</v>
      </c>
      <c r="M50" s="541"/>
      <c r="N50" s="549"/>
    </row>
    <row r="51" spans="1:14" s="152" customFormat="1" ht="50.5" x14ac:dyDescent="0.35">
      <c r="A51" s="511"/>
      <c r="B51" s="545"/>
      <c r="C51" s="552"/>
      <c r="D51" s="404"/>
      <c r="E51" s="516"/>
      <c r="F51" s="445"/>
      <c r="G51" s="526"/>
      <c r="H51" s="536"/>
      <c r="I51" s="538"/>
      <c r="J51" s="540"/>
      <c r="K51" s="52" t="s">
        <v>224</v>
      </c>
      <c r="L51" s="138">
        <v>0</v>
      </c>
      <c r="M51" s="546"/>
      <c r="N51" s="548"/>
    </row>
    <row r="52" spans="1:14" s="152" customFormat="1" ht="22.5" customHeight="1" x14ac:dyDescent="0.35">
      <c r="A52" s="510" t="s">
        <v>187</v>
      </c>
      <c r="B52" s="544" t="s">
        <v>233</v>
      </c>
      <c r="C52" s="445" t="s">
        <v>236</v>
      </c>
      <c r="D52" s="438" t="s">
        <v>220</v>
      </c>
      <c r="E52" s="514"/>
      <c r="F52" s="446"/>
      <c r="G52" s="524"/>
      <c r="H52" s="536" t="s">
        <v>27</v>
      </c>
      <c r="I52" s="537">
        <f>IF(H52='Response Guidlines'!$D$81,'Response Guidlines'!$C$81, IF(H52='Response Guidlines'!$D$82,'Response Guidlines'!$C$82,IF(H52='Response Guidlines'!$D$83,'Response Guidlines'!$C$83,IF(H52='Response Guidlines'!$D$84,'Response Guidlines'!$C$84,IF(H52='Response Guidlines'!$D$85,'Response Guidlines'!$C$85,IF(H52='Response Guidlines'!$D$86,'Response Guidlines'!$C$86,IF(H52='Response Guidlines'!$D$87,'Response Guidlines'!$C$87,"No Rating")))))))</f>
        <v>4</v>
      </c>
      <c r="J52" s="539">
        <f>(I52/$I$192)/_xlfn.XLOOKUP('Scoring Summary'!$D$19,'Response Guidlines'!$D$92:$D$191,'Response Guidlines'!$C$92:$C$191,"",0,1)</f>
        <v>5.7142857142856857E-3</v>
      </c>
      <c r="K52" s="56" t="s">
        <v>222</v>
      </c>
      <c r="L52" s="136">
        <f>J52</f>
        <v>5.7142857142856857E-3</v>
      </c>
      <c r="M52" s="543"/>
      <c r="N52" s="548" t="s">
        <v>237</v>
      </c>
    </row>
    <row r="53" spans="1:14" s="152" customFormat="1" ht="11.25" hidden="1" customHeight="1" x14ac:dyDescent="0.35">
      <c r="A53" s="510"/>
      <c r="B53" s="544"/>
      <c r="C53" s="412"/>
      <c r="D53" s="404"/>
      <c r="E53" s="515"/>
      <c r="F53" s="444"/>
      <c r="G53" s="525"/>
      <c r="H53" s="536"/>
      <c r="I53" s="538"/>
      <c r="J53" s="540"/>
      <c r="K53" s="52"/>
      <c r="L53" s="138">
        <f>L52*0.75</f>
        <v>4.2857142857142642E-3</v>
      </c>
      <c r="M53" s="546"/>
      <c r="N53" s="548"/>
    </row>
    <row r="54" spans="1:14" s="152" customFormat="1" ht="50.5" x14ac:dyDescent="0.35">
      <c r="A54" s="510"/>
      <c r="B54" s="544"/>
      <c r="C54" s="412"/>
      <c r="D54" s="404"/>
      <c r="E54" s="515"/>
      <c r="F54" s="444"/>
      <c r="G54" s="525"/>
      <c r="H54" s="536"/>
      <c r="I54" s="538"/>
      <c r="J54" s="540"/>
      <c r="K54" s="52" t="s">
        <v>223</v>
      </c>
      <c r="L54" s="138">
        <f>L52*0.5</f>
        <v>2.8571428571428428E-3</v>
      </c>
      <c r="M54" s="546"/>
      <c r="N54" s="549"/>
    </row>
    <row r="55" spans="1:14" s="152" customFormat="1" ht="11.25" hidden="1" customHeight="1" x14ac:dyDescent="0.35">
      <c r="A55" s="510"/>
      <c r="B55" s="544"/>
      <c r="C55" s="412"/>
      <c r="D55" s="404"/>
      <c r="E55" s="515"/>
      <c r="F55" s="444"/>
      <c r="G55" s="525"/>
      <c r="H55" s="536"/>
      <c r="I55" s="538"/>
      <c r="J55" s="540"/>
      <c r="K55" s="52"/>
      <c r="L55" s="138">
        <f>L52*0.25</f>
        <v>1.4285714285714214E-3</v>
      </c>
      <c r="M55" s="546"/>
      <c r="N55" s="549"/>
    </row>
    <row r="56" spans="1:14" s="152" customFormat="1" ht="50.5" x14ac:dyDescent="0.35">
      <c r="A56" s="511"/>
      <c r="B56" s="545"/>
      <c r="C56" s="412"/>
      <c r="D56" s="404"/>
      <c r="E56" s="516"/>
      <c r="F56" s="445"/>
      <c r="G56" s="526"/>
      <c r="H56" s="536"/>
      <c r="I56" s="538"/>
      <c r="J56" s="540"/>
      <c r="K56" s="52" t="s">
        <v>224</v>
      </c>
      <c r="L56" s="138">
        <v>0</v>
      </c>
      <c r="M56" s="546"/>
      <c r="N56" s="548"/>
    </row>
    <row r="57" spans="1:14" s="152" customFormat="1" ht="22.5" customHeight="1" x14ac:dyDescent="0.35">
      <c r="A57" s="510" t="s">
        <v>189</v>
      </c>
      <c r="B57" s="544" t="s">
        <v>233</v>
      </c>
      <c r="C57" s="445" t="s">
        <v>238</v>
      </c>
      <c r="D57" s="438" t="s">
        <v>220</v>
      </c>
      <c r="E57" s="514"/>
      <c r="F57" s="446"/>
      <c r="G57" s="524"/>
      <c r="H57" s="536" t="s">
        <v>27</v>
      </c>
      <c r="I57" s="537">
        <f>IF(H57='Response Guidlines'!$D$81,'Response Guidlines'!$C$81, IF(H57='Response Guidlines'!$D$82,'Response Guidlines'!$C$82,IF(H57='Response Guidlines'!$D$83,'Response Guidlines'!$C$83,IF(H57='Response Guidlines'!$D$84,'Response Guidlines'!$C$84,IF(H57='Response Guidlines'!$D$85,'Response Guidlines'!$C$85,IF(H57='Response Guidlines'!$D$86,'Response Guidlines'!$C$86,IF(H57='Response Guidlines'!$D$87,'Response Guidlines'!$C$87,"No Rating")))))))</f>
        <v>4</v>
      </c>
      <c r="J57" s="539">
        <f>(I57/$I$192)/_xlfn.XLOOKUP('Scoring Summary'!$D$19,'Response Guidlines'!$D$92:$D$191,'Response Guidlines'!$C$92:$C$191,"",0,1)</f>
        <v>5.7142857142856857E-3</v>
      </c>
      <c r="K57" s="56" t="s">
        <v>222</v>
      </c>
      <c r="L57" s="136">
        <f>J57</f>
        <v>5.7142857142856857E-3</v>
      </c>
      <c r="M57" s="541"/>
      <c r="N57" s="437" t="s">
        <v>239</v>
      </c>
    </row>
    <row r="58" spans="1:14" s="152" customFormat="1" ht="11.25" hidden="1" customHeight="1" x14ac:dyDescent="0.35">
      <c r="A58" s="510"/>
      <c r="B58" s="544"/>
      <c r="C58" s="412"/>
      <c r="D58" s="404"/>
      <c r="E58" s="515"/>
      <c r="F58" s="444"/>
      <c r="G58" s="525"/>
      <c r="H58" s="536"/>
      <c r="I58" s="538"/>
      <c r="J58" s="540"/>
      <c r="K58" s="52"/>
      <c r="L58" s="138">
        <f>L57*0.75</f>
        <v>4.2857142857142642E-3</v>
      </c>
      <c r="M58" s="542"/>
      <c r="N58" s="437"/>
    </row>
    <row r="59" spans="1:14" s="152" customFormat="1" ht="50.5" x14ac:dyDescent="0.35">
      <c r="A59" s="510"/>
      <c r="B59" s="544"/>
      <c r="C59" s="412"/>
      <c r="D59" s="404"/>
      <c r="E59" s="515"/>
      <c r="F59" s="444"/>
      <c r="G59" s="525"/>
      <c r="H59" s="536"/>
      <c r="I59" s="538"/>
      <c r="J59" s="540"/>
      <c r="K59" s="52" t="s">
        <v>223</v>
      </c>
      <c r="L59" s="138">
        <f>L57*0.5</f>
        <v>2.8571428571428428E-3</v>
      </c>
      <c r="M59" s="542"/>
      <c r="N59" s="550"/>
    </row>
    <row r="60" spans="1:14" s="152" customFormat="1" ht="11.25" hidden="1" customHeight="1" x14ac:dyDescent="0.35">
      <c r="A60" s="510"/>
      <c r="B60" s="544"/>
      <c r="C60" s="412"/>
      <c r="D60" s="404"/>
      <c r="E60" s="515"/>
      <c r="F60" s="444"/>
      <c r="G60" s="525"/>
      <c r="H60" s="536"/>
      <c r="I60" s="538"/>
      <c r="J60" s="540"/>
      <c r="K60" s="52"/>
      <c r="L60" s="138">
        <f>L57*0.25</f>
        <v>1.4285714285714214E-3</v>
      </c>
      <c r="M60" s="542"/>
      <c r="N60" s="550"/>
    </row>
    <row r="61" spans="1:14" s="152" customFormat="1" ht="139.5" customHeight="1" x14ac:dyDescent="0.35">
      <c r="A61" s="511"/>
      <c r="B61" s="545"/>
      <c r="C61" s="412"/>
      <c r="D61" s="404"/>
      <c r="E61" s="516"/>
      <c r="F61" s="445"/>
      <c r="G61" s="526"/>
      <c r="H61" s="536"/>
      <c r="I61" s="538"/>
      <c r="J61" s="540"/>
      <c r="K61" s="52" t="s">
        <v>224</v>
      </c>
      <c r="L61" s="138">
        <v>0</v>
      </c>
      <c r="M61" s="543"/>
      <c r="N61" s="437"/>
    </row>
    <row r="62" spans="1:14" s="152" customFormat="1" ht="22.5" customHeight="1" x14ac:dyDescent="0.35">
      <c r="A62" s="510" t="s">
        <v>191</v>
      </c>
      <c r="B62" s="544" t="s">
        <v>233</v>
      </c>
      <c r="C62" s="445" t="s">
        <v>240</v>
      </c>
      <c r="D62" s="438" t="s">
        <v>220</v>
      </c>
      <c r="E62" s="514"/>
      <c r="F62" s="446"/>
      <c r="G62" s="524"/>
      <c r="H62" s="536" t="s">
        <v>27</v>
      </c>
      <c r="I62" s="537">
        <f>IF(H62='Response Guidlines'!$D$81,'Response Guidlines'!$C$81, IF(H62='Response Guidlines'!$D$82,'Response Guidlines'!$C$82,IF(H62='Response Guidlines'!$D$83,'Response Guidlines'!$C$83,IF(H62='Response Guidlines'!$D$84,'Response Guidlines'!$C$84,IF(H62='Response Guidlines'!$D$85,'Response Guidlines'!$C$85,IF(H62='Response Guidlines'!$D$86,'Response Guidlines'!$C$86,IF(H62='Response Guidlines'!$D$87,'Response Guidlines'!$C$87,"No Rating")))))))</f>
        <v>4</v>
      </c>
      <c r="J62" s="539">
        <f>(I62/$I$192)/_xlfn.XLOOKUP('Scoring Summary'!$D$19,'Response Guidlines'!$D$92:$D$191,'Response Guidlines'!$C$92:$C$191,"",0,1)</f>
        <v>5.7142857142856857E-3</v>
      </c>
      <c r="K62" s="56" t="s">
        <v>222</v>
      </c>
      <c r="L62" s="136">
        <f>J62</f>
        <v>5.7142857142856857E-3</v>
      </c>
      <c r="M62" s="543"/>
      <c r="N62" s="554" t="s">
        <v>241</v>
      </c>
    </row>
    <row r="63" spans="1:14" s="152" customFormat="1" ht="11.25" hidden="1" customHeight="1" x14ac:dyDescent="0.35">
      <c r="A63" s="510"/>
      <c r="B63" s="544"/>
      <c r="C63" s="412"/>
      <c r="D63" s="404"/>
      <c r="E63" s="515"/>
      <c r="F63" s="444"/>
      <c r="G63" s="525"/>
      <c r="H63" s="536"/>
      <c r="I63" s="538"/>
      <c r="J63" s="540"/>
      <c r="K63" s="52"/>
      <c r="L63" s="138">
        <f>L62*0.75</f>
        <v>4.2857142857142642E-3</v>
      </c>
      <c r="M63" s="546"/>
      <c r="N63" s="555"/>
    </row>
    <row r="64" spans="1:14" s="152" customFormat="1" ht="50.5" x14ac:dyDescent="0.35">
      <c r="A64" s="510"/>
      <c r="B64" s="544"/>
      <c r="C64" s="412"/>
      <c r="D64" s="404"/>
      <c r="E64" s="515"/>
      <c r="F64" s="444"/>
      <c r="G64" s="525"/>
      <c r="H64" s="536"/>
      <c r="I64" s="538"/>
      <c r="J64" s="540"/>
      <c r="K64" s="52" t="s">
        <v>223</v>
      </c>
      <c r="L64" s="138">
        <f>L62*0.5</f>
        <v>2.8571428571428428E-3</v>
      </c>
      <c r="M64" s="546"/>
      <c r="N64" s="555"/>
    </row>
    <row r="65" spans="1:14" s="152" customFormat="1" ht="11.25" hidden="1" customHeight="1" x14ac:dyDescent="0.35">
      <c r="A65" s="510"/>
      <c r="B65" s="544"/>
      <c r="C65" s="412"/>
      <c r="D65" s="404"/>
      <c r="E65" s="515"/>
      <c r="F65" s="444"/>
      <c r="G65" s="525"/>
      <c r="H65" s="536"/>
      <c r="I65" s="538"/>
      <c r="J65" s="540"/>
      <c r="K65" s="52"/>
      <c r="L65" s="138">
        <f>L62*0.25</f>
        <v>1.4285714285714214E-3</v>
      </c>
      <c r="M65" s="546"/>
      <c r="N65" s="555"/>
    </row>
    <row r="66" spans="1:14" s="152" customFormat="1" ht="50.5" x14ac:dyDescent="0.35">
      <c r="A66" s="511"/>
      <c r="B66" s="545"/>
      <c r="C66" s="412"/>
      <c r="D66" s="404"/>
      <c r="E66" s="516"/>
      <c r="F66" s="445"/>
      <c r="G66" s="526"/>
      <c r="H66" s="536"/>
      <c r="I66" s="538"/>
      <c r="J66" s="540"/>
      <c r="K66" s="52" t="s">
        <v>224</v>
      </c>
      <c r="L66" s="138">
        <v>0</v>
      </c>
      <c r="M66" s="546"/>
      <c r="N66" s="555"/>
    </row>
    <row r="67" spans="1:14" s="152" customFormat="1" ht="22.5" customHeight="1" x14ac:dyDescent="0.35">
      <c r="A67" s="510" t="s">
        <v>193</v>
      </c>
      <c r="B67" s="544" t="s">
        <v>233</v>
      </c>
      <c r="C67" s="412" t="s">
        <v>242</v>
      </c>
      <c r="D67" s="438" t="s">
        <v>220</v>
      </c>
      <c r="E67" s="514"/>
      <c r="F67" s="446"/>
      <c r="G67" s="524"/>
      <c r="H67" s="536" t="s">
        <v>27</v>
      </c>
      <c r="I67" s="537">
        <f>IF(H67='Response Guidlines'!$D$81,'Response Guidlines'!$C$81, IF(H67='Response Guidlines'!$D$82,'Response Guidlines'!$C$82,IF(H67='Response Guidlines'!$D$83,'Response Guidlines'!$C$83,IF(H67='Response Guidlines'!$D$84,'Response Guidlines'!$C$84,IF(H67='Response Guidlines'!$D$85,'Response Guidlines'!$C$85,IF(H67='Response Guidlines'!$D$86,'Response Guidlines'!$C$86,IF(H67='Response Guidlines'!$D$87,'Response Guidlines'!$C$87,"No Rating")))))))</f>
        <v>4</v>
      </c>
      <c r="J67" s="539">
        <f>(I67/$I$192)/_xlfn.XLOOKUP('Scoring Summary'!$D$19,'Response Guidlines'!$D$92:$D$191,'Response Guidlines'!$C$92:$C$191,"",0,1)</f>
        <v>5.7142857142856857E-3</v>
      </c>
      <c r="K67" s="56" t="s">
        <v>222</v>
      </c>
      <c r="L67" s="136">
        <f>J67</f>
        <v>5.7142857142856857E-3</v>
      </c>
      <c r="M67" s="546"/>
      <c r="N67" s="556" t="s">
        <v>243</v>
      </c>
    </row>
    <row r="68" spans="1:14" s="152" customFormat="1" ht="11.25" hidden="1" customHeight="1" x14ac:dyDescent="0.35">
      <c r="A68" s="510"/>
      <c r="B68" s="544"/>
      <c r="C68" s="412"/>
      <c r="D68" s="404"/>
      <c r="E68" s="515"/>
      <c r="F68" s="444"/>
      <c r="G68" s="525"/>
      <c r="H68" s="536"/>
      <c r="I68" s="538"/>
      <c r="J68" s="540"/>
      <c r="K68" s="52"/>
      <c r="L68" s="138">
        <f>L67*0.75</f>
        <v>4.2857142857142642E-3</v>
      </c>
      <c r="M68" s="546"/>
      <c r="N68" s="556"/>
    </row>
    <row r="69" spans="1:14" s="152" customFormat="1" ht="50.5" x14ac:dyDescent="0.35">
      <c r="A69" s="510"/>
      <c r="B69" s="544"/>
      <c r="C69" s="446"/>
      <c r="D69" s="404"/>
      <c r="E69" s="515"/>
      <c r="F69" s="444"/>
      <c r="G69" s="525"/>
      <c r="H69" s="536"/>
      <c r="I69" s="538"/>
      <c r="J69" s="540"/>
      <c r="K69" s="52" t="s">
        <v>223</v>
      </c>
      <c r="L69" s="138">
        <f>L67*0.5</f>
        <v>2.8571428571428428E-3</v>
      </c>
      <c r="M69" s="541"/>
      <c r="N69" s="557"/>
    </row>
    <row r="70" spans="1:14" s="152" customFormat="1" ht="11.25" hidden="1" customHeight="1" x14ac:dyDescent="0.35">
      <c r="A70" s="510"/>
      <c r="B70" s="544"/>
      <c r="C70" s="446"/>
      <c r="D70" s="404"/>
      <c r="E70" s="515"/>
      <c r="F70" s="444"/>
      <c r="G70" s="525"/>
      <c r="H70" s="536"/>
      <c r="I70" s="538"/>
      <c r="J70" s="540"/>
      <c r="K70" s="52"/>
      <c r="L70" s="138">
        <f>L67*0.25</f>
        <v>1.4285714285714214E-3</v>
      </c>
      <c r="M70" s="541"/>
      <c r="N70" s="557"/>
    </row>
    <row r="71" spans="1:14" s="152" customFormat="1" ht="77.25" customHeight="1" x14ac:dyDescent="0.35">
      <c r="A71" s="511"/>
      <c r="B71" s="545"/>
      <c r="C71" s="412"/>
      <c r="D71" s="404"/>
      <c r="E71" s="516"/>
      <c r="F71" s="445"/>
      <c r="G71" s="526"/>
      <c r="H71" s="536"/>
      <c r="I71" s="538"/>
      <c r="J71" s="540"/>
      <c r="K71" s="52" t="s">
        <v>224</v>
      </c>
      <c r="L71" s="138">
        <v>0</v>
      </c>
      <c r="M71" s="546"/>
      <c r="N71" s="556"/>
    </row>
    <row r="72" spans="1:14" s="152" customFormat="1" ht="22.5" customHeight="1" x14ac:dyDescent="0.35">
      <c r="A72" s="510" t="s">
        <v>195</v>
      </c>
      <c r="B72" s="544" t="s">
        <v>233</v>
      </c>
      <c r="C72" s="445" t="s">
        <v>244</v>
      </c>
      <c r="D72" s="438" t="s">
        <v>220</v>
      </c>
      <c r="E72" s="514"/>
      <c r="F72" s="446"/>
      <c r="G72" s="524"/>
      <c r="H72" s="536" t="s">
        <v>27</v>
      </c>
      <c r="I72" s="537">
        <f>IF(H72='Response Guidlines'!$D$81,'Response Guidlines'!$C$81, IF(H72='Response Guidlines'!$D$82,'Response Guidlines'!$C$82,IF(H72='Response Guidlines'!$D$83,'Response Guidlines'!$C$83,IF(H72='Response Guidlines'!$D$84,'Response Guidlines'!$C$84,IF(H72='Response Guidlines'!$D$85,'Response Guidlines'!$C$85,IF(H72='Response Guidlines'!$D$86,'Response Guidlines'!$C$86,IF(H72='Response Guidlines'!$D$87,'Response Guidlines'!$C$87,"No Rating")))))))</f>
        <v>4</v>
      </c>
      <c r="J72" s="539">
        <f>(I72/$I$192)/_xlfn.XLOOKUP('Scoring Summary'!$D$19,'Response Guidlines'!$D$92:$D$191,'Response Guidlines'!$C$92:$C$191,"",0,1)</f>
        <v>5.7142857142856857E-3</v>
      </c>
      <c r="K72" s="56" t="s">
        <v>222</v>
      </c>
      <c r="L72" s="136">
        <f>J72</f>
        <v>5.7142857142856857E-3</v>
      </c>
      <c r="M72" s="543"/>
      <c r="N72" s="551"/>
    </row>
    <row r="73" spans="1:14" s="152" customFormat="1" ht="10" hidden="1" x14ac:dyDescent="0.35">
      <c r="A73" s="510"/>
      <c r="B73" s="544"/>
      <c r="C73" s="412"/>
      <c r="D73" s="404"/>
      <c r="E73" s="515"/>
      <c r="F73" s="444"/>
      <c r="G73" s="525"/>
      <c r="H73" s="536"/>
      <c r="I73" s="538"/>
      <c r="J73" s="540"/>
      <c r="K73" s="52"/>
      <c r="L73" s="138">
        <f>L72*0.75</f>
        <v>4.2857142857142642E-3</v>
      </c>
      <c r="M73" s="546"/>
      <c r="N73" s="437"/>
    </row>
    <row r="74" spans="1:14" s="152" customFormat="1" ht="50.5" x14ac:dyDescent="0.35">
      <c r="A74" s="510"/>
      <c r="B74" s="544"/>
      <c r="C74" s="412"/>
      <c r="D74" s="404"/>
      <c r="E74" s="515"/>
      <c r="F74" s="444"/>
      <c r="G74" s="525"/>
      <c r="H74" s="536"/>
      <c r="I74" s="538"/>
      <c r="J74" s="540"/>
      <c r="K74" s="52" t="s">
        <v>223</v>
      </c>
      <c r="L74" s="138">
        <f>L72*0.5</f>
        <v>2.8571428571428428E-3</v>
      </c>
      <c r="M74" s="546"/>
      <c r="N74" s="437"/>
    </row>
    <row r="75" spans="1:14" s="152" customFormat="1" ht="10" hidden="1" x14ac:dyDescent="0.35">
      <c r="A75" s="510"/>
      <c r="B75" s="544"/>
      <c r="C75" s="412"/>
      <c r="D75" s="404"/>
      <c r="E75" s="515"/>
      <c r="F75" s="444"/>
      <c r="G75" s="525"/>
      <c r="H75" s="536"/>
      <c r="I75" s="538"/>
      <c r="J75" s="540"/>
      <c r="K75" s="52"/>
      <c r="L75" s="138">
        <f>L72*0.25</f>
        <v>1.4285714285714214E-3</v>
      </c>
      <c r="M75" s="546"/>
      <c r="N75" s="437"/>
    </row>
    <row r="76" spans="1:14" s="152" customFormat="1" ht="50.5" x14ac:dyDescent="0.35">
      <c r="A76" s="511"/>
      <c r="B76" s="545"/>
      <c r="C76" s="412"/>
      <c r="D76" s="404"/>
      <c r="E76" s="516"/>
      <c r="F76" s="445"/>
      <c r="G76" s="526"/>
      <c r="H76" s="536"/>
      <c r="I76" s="538"/>
      <c r="J76" s="540"/>
      <c r="K76" s="52" t="s">
        <v>224</v>
      </c>
      <c r="L76" s="138">
        <v>0</v>
      </c>
      <c r="M76" s="546"/>
      <c r="N76" s="437"/>
    </row>
    <row r="77" spans="1:14" s="152" customFormat="1" ht="22.5" customHeight="1" x14ac:dyDescent="0.35">
      <c r="A77" s="510" t="s">
        <v>197</v>
      </c>
      <c r="B77" s="544" t="s">
        <v>233</v>
      </c>
      <c r="C77" s="445" t="s">
        <v>245</v>
      </c>
      <c r="D77" s="438" t="s">
        <v>220</v>
      </c>
      <c r="E77" s="514"/>
      <c r="F77" s="446"/>
      <c r="G77" s="524"/>
      <c r="H77" s="536" t="s">
        <v>27</v>
      </c>
      <c r="I77" s="537">
        <f>IF(H77='Response Guidlines'!$D$81,'Response Guidlines'!$C$81, IF(H77='Response Guidlines'!$D$82,'Response Guidlines'!$C$82,IF(H77='Response Guidlines'!$D$83,'Response Guidlines'!$C$83,IF(H77='Response Guidlines'!$D$84,'Response Guidlines'!$C$84,IF(H77='Response Guidlines'!$D$85,'Response Guidlines'!$C$85,IF(H77='Response Guidlines'!$D$86,'Response Guidlines'!$C$86,IF(H77='Response Guidlines'!$D$87,'Response Guidlines'!$C$87,"No Rating")))))))</f>
        <v>4</v>
      </c>
      <c r="J77" s="539">
        <f>(I77/$I$192)/_xlfn.XLOOKUP('Scoring Summary'!$D$19,'Response Guidlines'!$D$92:$D$191,'Response Guidlines'!$C$92:$C$191,"",0,1)</f>
        <v>5.7142857142856857E-3</v>
      </c>
      <c r="K77" s="56" t="s">
        <v>222</v>
      </c>
      <c r="L77" s="136">
        <f>J77</f>
        <v>5.7142857142856857E-3</v>
      </c>
      <c r="M77" s="546"/>
      <c r="N77" s="548" t="s">
        <v>246</v>
      </c>
    </row>
    <row r="78" spans="1:14" s="152" customFormat="1" ht="11.25" hidden="1" customHeight="1" x14ac:dyDescent="0.35">
      <c r="A78" s="510"/>
      <c r="B78" s="544"/>
      <c r="C78" s="412"/>
      <c r="D78" s="404"/>
      <c r="E78" s="515"/>
      <c r="F78" s="444"/>
      <c r="G78" s="525"/>
      <c r="H78" s="536"/>
      <c r="I78" s="538"/>
      <c r="J78" s="540"/>
      <c r="K78" s="52"/>
      <c r="L78" s="138">
        <f>L77*0.75</f>
        <v>4.2857142857142642E-3</v>
      </c>
      <c r="M78" s="546"/>
      <c r="N78" s="548"/>
    </row>
    <row r="79" spans="1:14" s="152" customFormat="1" ht="50.5" x14ac:dyDescent="0.35">
      <c r="A79" s="510"/>
      <c r="B79" s="544"/>
      <c r="C79" s="412"/>
      <c r="D79" s="404"/>
      <c r="E79" s="515"/>
      <c r="F79" s="444"/>
      <c r="G79" s="525"/>
      <c r="H79" s="536"/>
      <c r="I79" s="538"/>
      <c r="J79" s="540"/>
      <c r="K79" s="52" t="s">
        <v>223</v>
      </c>
      <c r="L79" s="138">
        <f>L77*0.5</f>
        <v>2.8571428571428428E-3</v>
      </c>
      <c r="M79" s="541"/>
      <c r="N79" s="549"/>
    </row>
    <row r="80" spans="1:14" s="152" customFormat="1" ht="11.25" hidden="1" customHeight="1" x14ac:dyDescent="0.35">
      <c r="A80" s="510"/>
      <c r="B80" s="544"/>
      <c r="C80" s="412"/>
      <c r="D80" s="404"/>
      <c r="E80" s="515"/>
      <c r="F80" s="444"/>
      <c r="G80" s="525"/>
      <c r="H80" s="536"/>
      <c r="I80" s="538"/>
      <c r="J80" s="540"/>
      <c r="K80" s="52"/>
      <c r="L80" s="138">
        <f>L77*0.25</f>
        <v>1.4285714285714214E-3</v>
      </c>
      <c r="M80" s="541"/>
      <c r="N80" s="549"/>
    </row>
    <row r="81" spans="1:14" s="152" customFormat="1" ht="50.5" x14ac:dyDescent="0.35">
      <c r="A81" s="511"/>
      <c r="B81" s="545"/>
      <c r="C81" s="412"/>
      <c r="D81" s="404"/>
      <c r="E81" s="516"/>
      <c r="F81" s="445"/>
      <c r="G81" s="526"/>
      <c r="H81" s="536"/>
      <c r="I81" s="538"/>
      <c r="J81" s="540"/>
      <c r="K81" s="52" t="s">
        <v>224</v>
      </c>
      <c r="L81" s="138">
        <v>0</v>
      </c>
      <c r="M81" s="546"/>
      <c r="N81" s="548"/>
    </row>
    <row r="82" spans="1:14" s="152" customFormat="1" ht="22.5" customHeight="1" x14ac:dyDescent="0.35">
      <c r="A82" s="510" t="s">
        <v>199</v>
      </c>
      <c r="B82" s="544" t="s">
        <v>233</v>
      </c>
      <c r="C82" s="445" t="s">
        <v>247</v>
      </c>
      <c r="D82" s="438" t="s">
        <v>220</v>
      </c>
      <c r="E82" s="514"/>
      <c r="F82" s="446"/>
      <c r="G82" s="524"/>
      <c r="H82" s="536" t="s">
        <v>27</v>
      </c>
      <c r="I82" s="537">
        <f>IF(H82='Response Guidlines'!$D$81,'Response Guidlines'!$C$81, IF(H82='Response Guidlines'!$D$82,'Response Guidlines'!$C$82,IF(H82='Response Guidlines'!$D$83,'Response Guidlines'!$C$83,IF(H82='Response Guidlines'!$D$84,'Response Guidlines'!$C$84,IF(H82='Response Guidlines'!$D$85,'Response Guidlines'!$C$85,IF(H82='Response Guidlines'!$D$86,'Response Guidlines'!$C$86,IF(H82='Response Guidlines'!$D$87,'Response Guidlines'!$C$87,"No Rating")))))))</f>
        <v>4</v>
      </c>
      <c r="J82" s="539">
        <f>(I82/$I$192)/_xlfn.XLOOKUP('Scoring Summary'!$D$19,'Response Guidlines'!$D$92:$D$191,'Response Guidlines'!$C$92:$C$191,"",0,1)</f>
        <v>5.7142857142856857E-3</v>
      </c>
      <c r="K82" s="56" t="s">
        <v>222</v>
      </c>
      <c r="L82" s="136">
        <f>J82</f>
        <v>5.7142857142856857E-3</v>
      </c>
      <c r="M82" s="546"/>
      <c r="N82" s="548" t="s">
        <v>246</v>
      </c>
    </row>
    <row r="83" spans="1:14" s="152" customFormat="1" ht="11.25" hidden="1" customHeight="1" x14ac:dyDescent="0.35">
      <c r="A83" s="510"/>
      <c r="B83" s="544"/>
      <c r="C83" s="412"/>
      <c r="D83" s="404"/>
      <c r="E83" s="515"/>
      <c r="F83" s="444"/>
      <c r="G83" s="525"/>
      <c r="H83" s="536"/>
      <c r="I83" s="538"/>
      <c r="J83" s="540"/>
      <c r="K83" s="52"/>
      <c r="L83" s="138">
        <f>L82*0.75</f>
        <v>4.2857142857142642E-3</v>
      </c>
      <c r="M83" s="546"/>
      <c r="N83" s="548"/>
    </row>
    <row r="84" spans="1:14" s="152" customFormat="1" ht="50.5" x14ac:dyDescent="0.35">
      <c r="A84" s="510"/>
      <c r="B84" s="544"/>
      <c r="C84" s="412"/>
      <c r="D84" s="404"/>
      <c r="E84" s="515"/>
      <c r="F84" s="444"/>
      <c r="G84" s="525"/>
      <c r="H84" s="536"/>
      <c r="I84" s="538"/>
      <c r="J84" s="540"/>
      <c r="K84" s="52" t="s">
        <v>223</v>
      </c>
      <c r="L84" s="138">
        <f>L82*0.5</f>
        <v>2.8571428571428428E-3</v>
      </c>
      <c r="M84" s="541"/>
      <c r="N84" s="549"/>
    </row>
    <row r="85" spans="1:14" s="152" customFormat="1" ht="11.25" hidden="1" customHeight="1" x14ac:dyDescent="0.35">
      <c r="A85" s="510"/>
      <c r="B85" s="544"/>
      <c r="C85" s="412"/>
      <c r="D85" s="404"/>
      <c r="E85" s="515"/>
      <c r="F85" s="444"/>
      <c r="G85" s="525"/>
      <c r="H85" s="536"/>
      <c r="I85" s="538"/>
      <c r="J85" s="540"/>
      <c r="K85" s="52"/>
      <c r="L85" s="138">
        <f>L82*0.25</f>
        <v>1.4285714285714214E-3</v>
      </c>
      <c r="M85" s="541"/>
      <c r="N85" s="549"/>
    </row>
    <row r="86" spans="1:14" s="152" customFormat="1" ht="50.5" x14ac:dyDescent="0.35">
      <c r="A86" s="511"/>
      <c r="B86" s="545"/>
      <c r="C86" s="412"/>
      <c r="D86" s="404"/>
      <c r="E86" s="516"/>
      <c r="F86" s="445"/>
      <c r="G86" s="526"/>
      <c r="H86" s="536"/>
      <c r="I86" s="538"/>
      <c r="J86" s="540"/>
      <c r="K86" s="52" t="s">
        <v>224</v>
      </c>
      <c r="L86" s="138">
        <v>0</v>
      </c>
      <c r="M86" s="546"/>
      <c r="N86" s="548"/>
    </row>
    <row r="87" spans="1:14" s="152" customFormat="1" ht="22.5" customHeight="1" x14ac:dyDescent="0.35">
      <c r="A87" s="510" t="s">
        <v>201</v>
      </c>
      <c r="B87" s="544" t="s">
        <v>233</v>
      </c>
      <c r="C87" s="445" t="s">
        <v>248</v>
      </c>
      <c r="D87" s="438" t="s">
        <v>220</v>
      </c>
      <c r="E87" s="454"/>
      <c r="F87" s="444"/>
      <c r="G87" s="525"/>
      <c r="H87" s="536" t="s">
        <v>27</v>
      </c>
      <c r="I87" s="537">
        <f>IF(H87='Response Guidlines'!$D$81,'Response Guidlines'!$C$81, IF(H87='Response Guidlines'!$D$82,'Response Guidlines'!$C$82,IF(H87='Response Guidlines'!$D$83,'Response Guidlines'!$C$83,IF(H87='Response Guidlines'!$D$84,'Response Guidlines'!$C$84,IF(H87='Response Guidlines'!$D$85,'Response Guidlines'!$C$85,IF(H87='Response Guidlines'!$D$86,'Response Guidlines'!$C$86,IF(H87='Response Guidlines'!$D$87,'Response Guidlines'!$C$87,"No Rating")))))))</f>
        <v>4</v>
      </c>
      <c r="J87" s="539">
        <f>(I87/$I$192)/_xlfn.XLOOKUP('Scoring Summary'!$D$19,'Response Guidlines'!$D$92:$D$191,'Response Guidlines'!$C$92:$C$191,"",0,1)</f>
        <v>5.7142857142856857E-3</v>
      </c>
      <c r="K87" s="56" t="s">
        <v>222</v>
      </c>
      <c r="L87" s="136">
        <f>J87</f>
        <v>5.7142857142856857E-3</v>
      </c>
      <c r="M87" s="543"/>
      <c r="N87" s="437" t="s">
        <v>249</v>
      </c>
    </row>
    <row r="88" spans="1:14" s="152" customFormat="1" ht="11.25" hidden="1" customHeight="1" x14ac:dyDescent="0.35">
      <c r="A88" s="510"/>
      <c r="B88" s="544"/>
      <c r="C88" s="412"/>
      <c r="D88" s="404"/>
      <c r="E88" s="442"/>
      <c r="F88" s="444"/>
      <c r="G88" s="525"/>
      <c r="H88" s="536"/>
      <c r="I88" s="538"/>
      <c r="J88" s="540"/>
      <c r="K88" s="52"/>
      <c r="L88" s="138">
        <f>L87*0.75</f>
        <v>4.2857142857142642E-3</v>
      </c>
      <c r="M88" s="546"/>
      <c r="N88" s="437"/>
    </row>
    <row r="89" spans="1:14" s="152" customFormat="1" ht="50.5" x14ac:dyDescent="0.35">
      <c r="A89" s="510"/>
      <c r="B89" s="544"/>
      <c r="C89" s="412"/>
      <c r="D89" s="404"/>
      <c r="E89" s="442"/>
      <c r="F89" s="444"/>
      <c r="G89" s="525"/>
      <c r="H89" s="536"/>
      <c r="I89" s="538"/>
      <c r="J89" s="540"/>
      <c r="K89" s="52" t="s">
        <v>223</v>
      </c>
      <c r="L89" s="138">
        <f>L87*0.5</f>
        <v>2.8571428571428428E-3</v>
      </c>
      <c r="M89" s="546"/>
      <c r="N89" s="550"/>
    </row>
    <row r="90" spans="1:14" s="152" customFormat="1" ht="11.25" hidden="1" customHeight="1" x14ac:dyDescent="0.35">
      <c r="A90" s="510"/>
      <c r="B90" s="544"/>
      <c r="C90" s="412"/>
      <c r="D90" s="404"/>
      <c r="E90" s="442"/>
      <c r="F90" s="444"/>
      <c r="G90" s="525"/>
      <c r="H90" s="536"/>
      <c r="I90" s="538"/>
      <c r="J90" s="540"/>
      <c r="K90" s="52"/>
      <c r="L90" s="138">
        <f>L87*0.25</f>
        <v>1.4285714285714214E-3</v>
      </c>
      <c r="M90" s="546"/>
      <c r="N90" s="550"/>
    </row>
    <row r="91" spans="1:14" s="152" customFormat="1" ht="50.5" x14ac:dyDescent="0.35">
      <c r="A91" s="511"/>
      <c r="B91" s="545"/>
      <c r="C91" s="412"/>
      <c r="D91" s="404"/>
      <c r="E91" s="443"/>
      <c r="F91" s="445"/>
      <c r="G91" s="526"/>
      <c r="H91" s="536"/>
      <c r="I91" s="538"/>
      <c r="J91" s="540"/>
      <c r="K91" s="52" t="s">
        <v>224</v>
      </c>
      <c r="L91" s="138">
        <v>0</v>
      </c>
      <c r="M91" s="546"/>
      <c r="N91" s="437"/>
    </row>
    <row r="92" spans="1:14" s="152" customFormat="1" ht="22.5" customHeight="1" x14ac:dyDescent="0.35">
      <c r="A92" s="510" t="s">
        <v>203</v>
      </c>
      <c r="B92" s="544" t="s">
        <v>233</v>
      </c>
      <c r="C92" s="445" t="s">
        <v>250</v>
      </c>
      <c r="D92" s="438" t="s">
        <v>220</v>
      </c>
      <c r="E92" s="514"/>
      <c r="F92" s="446"/>
      <c r="G92" s="524"/>
      <c r="H92" s="536" t="s">
        <v>27</v>
      </c>
      <c r="I92" s="537">
        <f>IF(H92='Response Guidlines'!$D$81,'Response Guidlines'!$C$81, IF(H92='Response Guidlines'!$D$82,'Response Guidlines'!$C$82,IF(H92='Response Guidlines'!$D$83,'Response Guidlines'!$C$83,IF(H92='Response Guidlines'!$D$84,'Response Guidlines'!$C$84,IF(H92='Response Guidlines'!$D$85,'Response Guidlines'!$C$85,IF(H92='Response Guidlines'!$D$86,'Response Guidlines'!$C$86,IF(H92='Response Guidlines'!$D$87,'Response Guidlines'!$C$87,"No Rating")))))))</f>
        <v>4</v>
      </c>
      <c r="J92" s="539">
        <f>(I92/$I$192)/_xlfn.XLOOKUP('Scoring Summary'!$D$19,'Response Guidlines'!$D$92:$D$191,'Response Guidlines'!$C$92:$C$191,"",0,1)</f>
        <v>5.7142857142856857E-3</v>
      </c>
      <c r="K92" s="56" t="s">
        <v>222</v>
      </c>
      <c r="L92" s="136">
        <f>J92</f>
        <v>5.7142857142856857E-3</v>
      </c>
      <c r="M92" s="546"/>
      <c r="N92" s="558" t="s">
        <v>251</v>
      </c>
    </row>
    <row r="93" spans="1:14" s="152" customFormat="1" ht="11.25" hidden="1" customHeight="1" x14ac:dyDescent="0.35">
      <c r="A93" s="510"/>
      <c r="B93" s="544"/>
      <c r="C93" s="412"/>
      <c r="D93" s="404"/>
      <c r="E93" s="515"/>
      <c r="F93" s="444"/>
      <c r="G93" s="525"/>
      <c r="H93" s="536"/>
      <c r="I93" s="538"/>
      <c r="J93" s="540"/>
      <c r="K93" s="52"/>
      <c r="L93" s="138">
        <f>L92*0.75</f>
        <v>4.2857142857142642E-3</v>
      </c>
      <c r="M93" s="546"/>
      <c r="N93" s="558"/>
    </row>
    <row r="94" spans="1:14" s="152" customFormat="1" ht="50.5" x14ac:dyDescent="0.35">
      <c r="A94" s="510"/>
      <c r="B94" s="544"/>
      <c r="C94" s="412"/>
      <c r="D94" s="404"/>
      <c r="E94" s="515"/>
      <c r="F94" s="444"/>
      <c r="G94" s="525"/>
      <c r="H94" s="536"/>
      <c r="I94" s="538"/>
      <c r="J94" s="540"/>
      <c r="K94" s="52" t="s">
        <v>223</v>
      </c>
      <c r="L94" s="138">
        <f>L92*0.5</f>
        <v>2.8571428571428428E-3</v>
      </c>
      <c r="M94" s="541"/>
      <c r="N94" s="559"/>
    </row>
    <row r="95" spans="1:14" s="152" customFormat="1" ht="11.25" hidden="1" customHeight="1" x14ac:dyDescent="0.35">
      <c r="A95" s="510"/>
      <c r="B95" s="544"/>
      <c r="C95" s="412"/>
      <c r="D95" s="404"/>
      <c r="E95" s="515"/>
      <c r="F95" s="444"/>
      <c r="G95" s="525"/>
      <c r="H95" s="536"/>
      <c r="I95" s="538"/>
      <c r="J95" s="540"/>
      <c r="K95" s="52"/>
      <c r="L95" s="138">
        <f>L92*0.25</f>
        <v>1.4285714285714214E-3</v>
      </c>
      <c r="M95" s="541"/>
      <c r="N95" s="559"/>
    </row>
    <row r="96" spans="1:14" s="152" customFormat="1" ht="50.5" x14ac:dyDescent="0.35">
      <c r="A96" s="511"/>
      <c r="B96" s="545"/>
      <c r="C96" s="412"/>
      <c r="D96" s="404"/>
      <c r="E96" s="516"/>
      <c r="F96" s="445"/>
      <c r="G96" s="526"/>
      <c r="H96" s="536"/>
      <c r="I96" s="538"/>
      <c r="J96" s="540"/>
      <c r="K96" s="52" t="s">
        <v>224</v>
      </c>
      <c r="L96" s="138">
        <v>0</v>
      </c>
      <c r="M96" s="546"/>
      <c r="N96" s="558"/>
    </row>
    <row r="97" spans="1:14" s="152" customFormat="1" ht="22.5" customHeight="1" x14ac:dyDescent="0.35">
      <c r="A97" s="510" t="s">
        <v>205</v>
      </c>
      <c r="B97" s="544" t="s">
        <v>233</v>
      </c>
      <c r="C97" s="445" t="s">
        <v>252</v>
      </c>
      <c r="D97" s="438" t="s">
        <v>220</v>
      </c>
      <c r="E97" s="441"/>
      <c r="F97" s="446"/>
      <c r="G97" s="524"/>
      <c r="H97" s="536" t="s">
        <v>27</v>
      </c>
      <c r="I97" s="537">
        <f>IF(H97='Response Guidlines'!$D$81,'Response Guidlines'!$C$81, IF(H97='Response Guidlines'!$D$82,'Response Guidlines'!$C$82,IF(H97='Response Guidlines'!$D$83,'Response Guidlines'!$C$83,IF(H97='Response Guidlines'!$D$84,'Response Guidlines'!$C$84,IF(H97='Response Guidlines'!$D$85,'Response Guidlines'!$C$85,IF(H97='Response Guidlines'!$D$86,'Response Guidlines'!$C$86,IF(H97='Response Guidlines'!$D$87,'Response Guidlines'!$C$87,"No Rating")))))))</f>
        <v>4</v>
      </c>
      <c r="J97" s="539">
        <f>(I97/$I$192)/_xlfn.XLOOKUP('Scoring Summary'!$D$19,'Response Guidlines'!$D$92:$D$191,'Response Guidlines'!$C$92:$C$191,"",0,1)</f>
        <v>5.7142857142856857E-3</v>
      </c>
      <c r="K97" s="56" t="s">
        <v>222</v>
      </c>
      <c r="L97" s="136">
        <f>J97</f>
        <v>5.7142857142856857E-3</v>
      </c>
      <c r="M97" s="541"/>
      <c r="N97" s="437" t="s">
        <v>253</v>
      </c>
    </row>
    <row r="98" spans="1:14" s="152" customFormat="1" ht="11.25" hidden="1" customHeight="1" x14ac:dyDescent="0.35">
      <c r="A98" s="510"/>
      <c r="B98" s="544"/>
      <c r="C98" s="412"/>
      <c r="D98" s="404"/>
      <c r="E98" s="442"/>
      <c r="F98" s="444"/>
      <c r="G98" s="525"/>
      <c r="H98" s="536"/>
      <c r="I98" s="538"/>
      <c r="J98" s="540"/>
      <c r="K98" s="52"/>
      <c r="L98" s="138">
        <f>L97*0.75</f>
        <v>4.2857142857142642E-3</v>
      </c>
      <c r="M98" s="542"/>
      <c r="N98" s="437"/>
    </row>
    <row r="99" spans="1:14" s="152" customFormat="1" ht="50.5" x14ac:dyDescent="0.35">
      <c r="A99" s="510"/>
      <c r="B99" s="544"/>
      <c r="C99" s="412"/>
      <c r="D99" s="404"/>
      <c r="E99" s="442"/>
      <c r="F99" s="444"/>
      <c r="G99" s="525"/>
      <c r="H99" s="536"/>
      <c r="I99" s="538"/>
      <c r="J99" s="540"/>
      <c r="K99" s="52" t="s">
        <v>223</v>
      </c>
      <c r="L99" s="138">
        <f>L97*0.5</f>
        <v>2.8571428571428428E-3</v>
      </c>
      <c r="M99" s="542"/>
      <c r="N99" s="550"/>
    </row>
    <row r="100" spans="1:14" s="152" customFormat="1" ht="11.25" hidden="1" customHeight="1" x14ac:dyDescent="0.35">
      <c r="A100" s="510"/>
      <c r="B100" s="544"/>
      <c r="C100" s="412"/>
      <c r="D100" s="404"/>
      <c r="E100" s="442"/>
      <c r="F100" s="444"/>
      <c r="G100" s="525"/>
      <c r="H100" s="536"/>
      <c r="I100" s="538"/>
      <c r="J100" s="540"/>
      <c r="K100" s="52"/>
      <c r="L100" s="138">
        <f>L97*0.25</f>
        <v>1.4285714285714214E-3</v>
      </c>
      <c r="M100" s="542"/>
      <c r="N100" s="550"/>
    </row>
    <row r="101" spans="1:14" s="152" customFormat="1" ht="50.5" x14ac:dyDescent="0.35">
      <c r="A101" s="511"/>
      <c r="B101" s="545"/>
      <c r="C101" s="412"/>
      <c r="D101" s="404"/>
      <c r="E101" s="443"/>
      <c r="F101" s="445"/>
      <c r="G101" s="526"/>
      <c r="H101" s="536"/>
      <c r="I101" s="538"/>
      <c r="J101" s="540"/>
      <c r="K101" s="52" t="s">
        <v>224</v>
      </c>
      <c r="L101" s="138">
        <v>0</v>
      </c>
      <c r="M101" s="543"/>
      <c r="N101" s="437"/>
    </row>
    <row r="102" spans="1:14" s="152" customFormat="1" ht="22.5" customHeight="1" x14ac:dyDescent="0.35">
      <c r="A102" s="510" t="s">
        <v>207</v>
      </c>
      <c r="B102" s="544" t="s">
        <v>233</v>
      </c>
      <c r="C102" s="445" t="s">
        <v>254</v>
      </c>
      <c r="D102" s="438" t="s">
        <v>220</v>
      </c>
      <c r="E102" s="560"/>
      <c r="F102" s="517"/>
      <c r="G102" s="519"/>
      <c r="H102" s="536" t="s">
        <v>27</v>
      </c>
      <c r="I102" s="537">
        <f>IF(H102='Response Guidlines'!$D$81,'Response Guidlines'!$C$81, IF(H102='Response Guidlines'!$D$82,'Response Guidlines'!$C$82,IF(H102='Response Guidlines'!$D$83,'Response Guidlines'!$C$83,IF(H102='Response Guidlines'!$D$84,'Response Guidlines'!$C$84,IF(H102='Response Guidlines'!$D$85,'Response Guidlines'!$C$85,IF(H102='Response Guidlines'!$D$86,'Response Guidlines'!$C$86,IF(H102='Response Guidlines'!$D$87,'Response Guidlines'!$C$87,"No Rating")))))))</f>
        <v>4</v>
      </c>
      <c r="J102" s="539">
        <f>(I102/$I$192)/_xlfn.XLOOKUP('Scoring Summary'!$D$19,'Response Guidlines'!$D$92:$D$191,'Response Guidlines'!$C$92:$C$191,"",0,1)</f>
        <v>5.7142857142856857E-3</v>
      </c>
      <c r="K102" s="56" t="s">
        <v>222</v>
      </c>
      <c r="L102" s="136">
        <f>J102</f>
        <v>5.7142857142856857E-3</v>
      </c>
      <c r="M102" s="543"/>
      <c r="N102" s="437"/>
    </row>
    <row r="103" spans="1:14" s="152" customFormat="1" ht="11.25" hidden="1" customHeight="1" x14ac:dyDescent="0.35">
      <c r="A103" s="510"/>
      <c r="B103" s="544"/>
      <c r="C103" s="412"/>
      <c r="D103" s="404"/>
      <c r="E103" s="560"/>
      <c r="F103" s="517"/>
      <c r="G103" s="519"/>
      <c r="H103" s="536"/>
      <c r="I103" s="538"/>
      <c r="J103" s="540"/>
      <c r="K103" s="52"/>
      <c r="L103" s="138">
        <f>L102*0.75</f>
        <v>4.2857142857142642E-3</v>
      </c>
      <c r="M103" s="546"/>
      <c r="N103" s="437"/>
    </row>
    <row r="104" spans="1:14" s="152" customFormat="1" ht="50.5" x14ac:dyDescent="0.35">
      <c r="A104" s="510"/>
      <c r="B104" s="544"/>
      <c r="C104" s="412"/>
      <c r="D104" s="404"/>
      <c r="E104" s="560"/>
      <c r="F104" s="517"/>
      <c r="G104" s="519"/>
      <c r="H104" s="536"/>
      <c r="I104" s="538"/>
      <c r="J104" s="540"/>
      <c r="K104" s="52" t="s">
        <v>223</v>
      </c>
      <c r="L104" s="138">
        <f>L102*0.5</f>
        <v>2.8571428571428428E-3</v>
      </c>
      <c r="M104" s="546"/>
      <c r="N104" s="550"/>
    </row>
    <row r="105" spans="1:14" s="152" customFormat="1" ht="11.25" hidden="1" customHeight="1" x14ac:dyDescent="0.35">
      <c r="A105" s="510"/>
      <c r="B105" s="544"/>
      <c r="C105" s="412"/>
      <c r="D105" s="404"/>
      <c r="E105" s="560"/>
      <c r="F105" s="517"/>
      <c r="G105" s="519"/>
      <c r="H105" s="536"/>
      <c r="I105" s="538"/>
      <c r="J105" s="540"/>
      <c r="K105" s="52"/>
      <c r="L105" s="138">
        <f>L102*0.25</f>
        <v>1.4285714285714214E-3</v>
      </c>
      <c r="M105" s="546"/>
      <c r="N105" s="550"/>
    </row>
    <row r="106" spans="1:14" s="152" customFormat="1" ht="50.5" x14ac:dyDescent="0.35">
      <c r="A106" s="511"/>
      <c r="B106" s="545"/>
      <c r="C106" s="412"/>
      <c r="D106" s="404"/>
      <c r="E106" s="561"/>
      <c r="F106" s="518"/>
      <c r="G106" s="520"/>
      <c r="H106" s="536"/>
      <c r="I106" s="538"/>
      <c r="J106" s="540"/>
      <c r="K106" s="52" t="s">
        <v>224</v>
      </c>
      <c r="L106" s="138">
        <v>0</v>
      </c>
      <c r="M106" s="546"/>
      <c r="N106" s="437"/>
    </row>
    <row r="107" spans="1:14" s="152" customFormat="1" ht="22.5" customHeight="1" x14ac:dyDescent="0.35">
      <c r="A107" s="510" t="s">
        <v>209</v>
      </c>
      <c r="B107" s="544" t="s">
        <v>233</v>
      </c>
      <c r="C107" s="445" t="s">
        <v>255</v>
      </c>
      <c r="D107" s="438" t="s">
        <v>220</v>
      </c>
      <c r="E107" s="441"/>
      <c r="F107" s="446"/>
      <c r="G107" s="524"/>
      <c r="H107" s="562" t="s">
        <v>27</v>
      </c>
      <c r="I107" s="537">
        <f>IF(H107='Response Guidlines'!$D$81,'Response Guidlines'!$C$81, IF(H107='Response Guidlines'!$D$82,'Response Guidlines'!$C$82,IF(H107='Response Guidlines'!$D$83,'Response Guidlines'!$C$83,IF(H107='Response Guidlines'!$D$84,'Response Guidlines'!$C$84,IF(H107='Response Guidlines'!$D$85,'Response Guidlines'!$C$85,IF(H107='Response Guidlines'!$D$86,'Response Guidlines'!$C$86,IF(H107='Response Guidlines'!$D$87,'Response Guidlines'!$C$87,"No Rating")))))))</f>
        <v>4</v>
      </c>
      <c r="J107" s="539">
        <f>(I107/$I$192)/_xlfn.XLOOKUP('Scoring Summary'!$D$19,'Response Guidlines'!$D$92:$D$191,'Response Guidlines'!$C$92:$C$191,"",0,1)</f>
        <v>5.7142857142856857E-3</v>
      </c>
      <c r="K107" s="56" t="s">
        <v>222</v>
      </c>
      <c r="L107" s="136">
        <f>J107</f>
        <v>5.7142857142856857E-3</v>
      </c>
      <c r="M107" s="546"/>
      <c r="N107" s="548" t="s">
        <v>256</v>
      </c>
    </row>
    <row r="108" spans="1:14" s="152" customFormat="1" ht="11.25" hidden="1" customHeight="1" x14ac:dyDescent="0.35">
      <c r="A108" s="510"/>
      <c r="B108" s="544"/>
      <c r="C108" s="412"/>
      <c r="D108" s="404"/>
      <c r="E108" s="442"/>
      <c r="F108" s="444"/>
      <c r="G108" s="525"/>
      <c r="H108" s="562"/>
      <c r="I108" s="538"/>
      <c r="J108" s="540"/>
      <c r="K108" s="52"/>
      <c r="L108" s="138">
        <f>L107*0.75</f>
        <v>4.2857142857142642E-3</v>
      </c>
      <c r="M108" s="546"/>
      <c r="N108" s="548"/>
    </row>
    <row r="109" spans="1:14" s="152" customFormat="1" ht="50.5" x14ac:dyDescent="0.35">
      <c r="A109" s="510"/>
      <c r="B109" s="544"/>
      <c r="C109" s="412"/>
      <c r="D109" s="404"/>
      <c r="E109" s="442"/>
      <c r="F109" s="444"/>
      <c r="G109" s="525"/>
      <c r="H109" s="562"/>
      <c r="I109" s="538"/>
      <c r="J109" s="540"/>
      <c r="K109" s="52" t="s">
        <v>223</v>
      </c>
      <c r="L109" s="138">
        <f>L107*0.5</f>
        <v>2.8571428571428428E-3</v>
      </c>
      <c r="M109" s="541"/>
      <c r="N109" s="549"/>
    </row>
    <row r="110" spans="1:14" s="152" customFormat="1" ht="11.25" hidden="1" customHeight="1" x14ac:dyDescent="0.35">
      <c r="A110" s="510"/>
      <c r="B110" s="544"/>
      <c r="C110" s="412"/>
      <c r="D110" s="404"/>
      <c r="E110" s="442"/>
      <c r="F110" s="444"/>
      <c r="G110" s="525"/>
      <c r="H110" s="562"/>
      <c r="I110" s="538"/>
      <c r="J110" s="540"/>
      <c r="K110" s="52"/>
      <c r="L110" s="138">
        <f>L107*0.25</f>
        <v>1.4285714285714214E-3</v>
      </c>
      <c r="M110" s="541"/>
      <c r="N110" s="549"/>
    </row>
    <row r="111" spans="1:14" s="152" customFormat="1" ht="50.5" x14ac:dyDescent="0.35">
      <c r="A111" s="511"/>
      <c r="B111" s="545"/>
      <c r="C111" s="412"/>
      <c r="D111" s="404"/>
      <c r="E111" s="443"/>
      <c r="F111" s="445"/>
      <c r="G111" s="526"/>
      <c r="H111" s="562"/>
      <c r="I111" s="538"/>
      <c r="J111" s="540"/>
      <c r="K111" s="52" t="s">
        <v>224</v>
      </c>
      <c r="L111" s="138">
        <v>0</v>
      </c>
      <c r="M111" s="546"/>
      <c r="N111" s="548"/>
    </row>
    <row r="112" spans="1:14" s="152" customFormat="1" ht="22.5" customHeight="1" x14ac:dyDescent="0.35">
      <c r="A112" s="510" t="s">
        <v>211</v>
      </c>
      <c r="B112" s="544" t="s">
        <v>233</v>
      </c>
      <c r="C112" s="445" t="s">
        <v>257</v>
      </c>
      <c r="D112" s="438" t="s">
        <v>220</v>
      </c>
      <c r="E112" s="454"/>
      <c r="F112" s="444"/>
      <c r="G112" s="525"/>
      <c r="H112" s="536" t="s">
        <v>27</v>
      </c>
      <c r="I112" s="537">
        <f>IF(H112='Response Guidlines'!$D$81,'Response Guidlines'!$C$81, IF(H112='Response Guidlines'!$D$82,'Response Guidlines'!$C$82,IF(H112='Response Guidlines'!$D$83,'Response Guidlines'!$C$83,IF(H112='Response Guidlines'!$D$84,'Response Guidlines'!$C$84,IF(H112='Response Guidlines'!$D$85,'Response Guidlines'!$C$85,IF(H112='Response Guidlines'!$D$86,'Response Guidlines'!$C$86,IF(H112='Response Guidlines'!$D$87,'Response Guidlines'!$C$87,"No Rating")))))))</f>
        <v>4</v>
      </c>
      <c r="J112" s="539">
        <f>(I112/$I$192)/_xlfn.XLOOKUP('Scoring Summary'!$D$19,'Response Guidlines'!$D$92:$D$191,'Response Guidlines'!$C$92:$C$191,"",0,1)</f>
        <v>5.7142857142856857E-3</v>
      </c>
      <c r="K112" s="56" t="s">
        <v>222</v>
      </c>
      <c r="L112" s="136">
        <f>J112</f>
        <v>5.7142857142856857E-3</v>
      </c>
      <c r="M112" s="543"/>
      <c r="N112" s="437" t="s">
        <v>258</v>
      </c>
    </row>
    <row r="113" spans="1:15" s="152" customFormat="1" ht="11.25" hidden="1" customHeight="1" x14ac:dyDescent="0.35">
      <c r="A113" s="510"/>
      <c r="B113" s="544"/>
      <c r="C113" s="412"/>
      <c r="D113" s="404"/>
      <c r="E113" s="442"/>
      <c r="F113" s="444"/>
      <c r="G113" s="525"/>
      <c r="H113" s="536"/>
      <c r="I113" s="538"/>
      <c r="J113" s="540"/>
      <c r="K113" s="52"/>
      <c r="L113" s="138">
        <f>L112*0.75</f>
        <v>4.2857142857142642E-3</v>
      </c>
      <c r="M113" s="546"/>
      <c r="N113" s="437"/>
      <c r="O113" s="49"/>
    </row>
    <row r="114" spans="1:15" s="152" customFormat="1" ht="50.5" x14ac:dyDescent="0.35">
      <c r="A114" s="510"/>
      <c r="B114" s="544"/>
      <c r="C114" s="412"/>
      <c r="D114" s="404"/>
      <c r="E114" s="442"/>
      <c r="F114" s="444"/>
      <c r="G114" s="525"/>
      <c r="H114" s="536"/>
      <c r="I114" s="538"/>
      <c r="J114" s="540"/>
      <c r="K114" s="52" t="s">
        <v>223</v>
      </c>
      <c r="L114" s="138">
        <f>L112*0.5</f>
        <v>2.8571428571428428E-3</v>
      </c>
      <c r="M114" s="546"/>
      <c r="N114" s="550"/>
      <c r="O114" s="49"/>
    </row>
    <row r="115" spans="1:15" s="152" customFormat="1" ht="11.25" hidden="1" customHeight="1" x14ac:dyDescent="0.35">
      <c r="A115" s="510"/>
      <c r="B115" s="544"/>
      <c r="C115" s="412"/>
      <c r="D115" s="404"/>
      <c r="E115" s="442"/>
      <c r="F115" s="444"/>
      <c r="G115" s="525"/>
      <c r="H115" s="536"/>
      <c r="I115" s="538"/>
      <c r="J115" s="540"/>
      <c r="K115" s="52"/>
      <c r="L115" s="138">
        <f>L112*0.25</f>
        <v>1.4285714285714214E-3</v>
      </c>
      <c r="M115" s="546"/>
      <c r="N115" s="550"/>
      <c r="O115" s="49"/>
    </row>
    <row r="116" spans="1:15" s="152" customFormat="1" ht="50.5" x14ac:dyDescent="0.35">
      <c r="A116" s="511"/>
      <c r="B116" s="545"/>
      <c r="C116" s="412"/>
      <c r="D116" s="404"/>
      <c r="E116" s="443"/>
      <c r="F116" s="445"/>
      <c r="G116" s="526"/>
      <c r="H116" s="536"/>
      <c r="I116" s="538"/>
      <c r="J116" s="540"/>
      <c r="K116" s="52" t="s">
        <v>224</v>
      </c>
      <c r="L116" s="138">
        <v>0</v>
      </c>
      <c r="M116" s="546"/>
      <c r="N116" s="437"/>
      <c r="O116" s="49"/>
    </row>
    <row r="117" spans="1:15" s="152" customFormat="1" ht="22.5" customHeight="1" x14ac:dyDescent="0.35">
      <c r="A117" s="510" t="s">
        <v>213</v>
      </c>
      <c r="B117" s="544" t="s">
        <v>233</v>
      </c>
      <c r="C117" s="445" t="s">
        <v>259</v>
      </c>
      <c r="D117" s="438" t="s">
        <v>220</v>
      </c>
      <c r="E117" s="514"/>
      <c r="F117" s="446"/>
      <c r="G117" s="524"/>
      <c r="H117" s="536" t="s">
        <v>27</v>
      </c>
      <c r="I117" s="537">
        <f>IF(H117='Response Guidlines'!$D$81,'Response Guidlines'!$C$81, IF(H117='Response Guidlines'!$D$82,'Response Guidlines'!$C$82,IF(H117='Response Guidlines'!$D$83,'Response Guidlines'!$C$83,IF(H117='Response Guidlines'!$D$84,'Response Guidlines'!$C$84,IF(H117='Response Guidlines'!$D$85,'Response Guidlines'!$C$85,IF(H117='Response Guidlines'!$D$86,'Response Guidlines'!$C$86,IF(H117='Response Guidlines'!$D$87,'Response Guidlines'!$C$87,"No Rating")))))))</f>
        <v>4</v>
      </c>
      <c r="J117" s="539">
        <f>(I117/$I$192)/_xlfn.XLOOKUP('Scoring Summary'!$D$19,'Response Guidlines'!$D$92:$D$191,'Response Guidlines'!$C$92:$C$191,"",0,1)</f>
        <v>5.7142857142856857E-3</v>
      </c>
      <c r="K117" s="56" t="s">
        <v>222</v>
      </c>
      <c r="L117" s="136">
        <f>J117</f>
        <v>5.7142857142856857E-3</v>
      </c>
      <c r="M117" s="546"/>
      <c r="N117" s="558" t="s">
        <v>260</v>
      </c>
      <c r="O117" s="49"/>
    </row>
    <row r="118" spans="1:15" s="152" customFormat="1" ht="11.25" hidden="1" customHeight="1" x14ac:dyDescent="0.35">
      <c r="A118" s="510"/>
      <c r="B118" s="544"/>
      <c r="C118" s="412"/>
      <c r="D118" s="404"/>
      <c r="E118" s="515"/>
      <c r="F118" s="444"/>
      <c r="G118" s="525"/>
      <c r="H118" s="536"/>
      <c r="I118" s="538"/>
      <c r="J118" s="540"/>
      <c r="K118" s="52"/>
      <c r="L118" s="138">
        <f>L117*0.75</f>
        <v>4.2857142857142642E-3</v>
      </c>
      <c r="M118" s="546"/>
      <c r="N118" s="558"/>
      <c r="O118" s="49"/>
    </row>
    <row r="119" spans="1:15" s="152" customFormat="1" ht="50.5" x14ac:dyDescent="0.35">
      <c r="A119" s="510"/>
      <c r="B119" s="544"/>
      <c r="C119" s="412"/>
      <c r="D119" s="404"/>
      <c r="E119" s="515"/>
      <c r="F119" s="444"/>
      <c r="G119" s="525"/>
      <c r="H119" s="536"/>
      <c r="I119" s="538"/>
      <c r="J119" s="540"/>
      <c r="K119" s="52" t="s">
        <v>223</v>
      </c>
      <c r="L119" s="138">
        <f>L117*0.5</f>
        <v>2.8571428571428428E-3</v>
      </c>
      <c r="M119" s="541"/>
      <c r="N119" s="559"/>
      <c r="O119" s="49"/>
    </row>
    <row r="120" spans="1:15" s="152" customFormat="1" ht="11.25" hidden="1" customHeight="1" x14ac:dyDescent="0.35">
      <c r="A120" s="510"/>
      <c r="B120" s="544"/>
      <c r="C120" s="412"/>
      <c r="D120" s="404"/>
      <c r="E120" s="515"/>
      <c r="F120" s="444"/>
      <c r="G120" s="525"/>
      <c r="H120" s="536"/>
      <c r="I120" s="538"/>
      <c r="J120" s="540"/>
      <c r="K120" s="52"/>
      <c r="L120" s="138">
        <f>L117*0.25</f>
        <v>1.4285714285714214E-3</v>
      </c>
      <c r="M120" s="541"/>
      <c r="N120" s="559"/>
      <c r="O120" s="49"/>
    </row>
    <row r="121" spans="1:15" s="152" customFormat="1" ht="50.5" x14ac:dyDescent="0.35">
      <c r="A121" s="511"/>
      <c r="B121" s="545"/>
      <c r="C121" s="412"/>
      <c r="D121" s="404"/>
      <c r="E121" s="516"/>
      <c r="F121" s="445"/>
      <c r="G121" s="526"/>
      <c r="H121" s="536"/>
      <c r="I121" s="538"/>
      <c r="J121" s="540"/>
      <c r="K121" s="52" t="s">
        <v>224</v>
      </c>
      <c r="L121" s="138">
        <v>0</v>
      </c>
      <c r="M121" s="546"/>
      <c r="N121" s="558"/>
      <c r="O121" s="49"/>
    </row>
    <row r="122" spans="1:15" s="152" customFormat="1" ht="20.5" x14ac:dyDescent="0.35">
      <c r="A122" s="510" t="s">
        <v>216</v>
      </c>
      <c r="B122" s="544" t="s">
        <v>261</v>
      </c>
      <c r="C122" s="445" t="s">
        <v>262</v>
      </c>
      <c r="D122" s="438" t="s">
        <v>220</v>
      </c>
      <c r="E122" s="514"/>
      <c r="F122" s="446"/>
      <c r="G122" s="524"/>
      <c r="H122" s="536" t="s">
        <v>27</v>
      </c>
      <c r="I122" s="537">
        <f>IF(H122='Response Guidlines'!$D$81,'Response Guidlines'!$C$81, IF(H122='Response Guidlines'!$D$82,'Response Guidlines'!$C$82,IF(H122='Response Guidlines'!$D$83,'Response Guidlines'!$C$83,IF(H122='Response Guidlines'!$D$84,'Response Guidlines'!$C$84,IF(H122='Response Guidlines'!$D$85,'Response Guidlines'!$C$85,IF(H122='Response Guidlines'!$D$86,'Response Guidlines'!$C$86,IF(H122='Response Guidlines'!$D$87,'Response Guidlines'!$C$87,"No Rating")))))))</f>
        <v>4</v>
      </c>
      <c r="J122" s="539">
        <f>(I122/$I$192)/_xlfn.XLOOKUP('Scoring Summary'!$D$19,'Response Guidlines'!$D$92:$D$191,'Response Guidlines'!$C$92:$C$191,"",0,1)</f>
        <v>5.7142857142856857E-3</v>
      </c>
      <c r="K122" s="56" t="s">
        <v>222</v>
      </c>
      <c r="L122" s="136">
        <f>J122</f>
        <v>5.7142857142856857E-3</v>
      </c>
      <c r="M122" s="546"/>
      <c r="N122" s="563" t="s">
        <v>263</v>
      </c>
      <c r="O122" s="49"/>
    </row>
    <row r="123" spans="1:15" s="152" customFormat="1" ht="10" hidden="1" x14ac:dyDescent="0.35">
      <c r="A123" s="510"/>
      <c r="B123" s="544"/>
      <c r="C123" s="412"/>
      <c r="D123" s="404"/>
      <c r="E123" s="515"/>
      <c r="F123" s="444"/>
      <c r="G123" s="525"/>
      <c r="H123" s="536"/>
      <c r="I123" s="538"/>
      <c r="J123" s="540"/>
      <c r="K123" s="52"/>
      <c r="L123" s="138">
        <f>L122*0.75</f>
        <v>4.2857142857142642E-3</v>
      </c>
      <c r="M123" s="546"/>
      <c r="N123" s="563"/>
      <c r="O123" s="49"/>
    </row>
    <row r="124" spans="1:15" s="152" customFormat="1" ht="50.5" x14ac:dyDescent="0.35">
      <c r="A124" s="510"/>
      <c r="B124" s="544"/>
      <c r="C124" s="412"/>
      <c r="D124" s="404"/>
      <c r="E124" s="515"/>
      <c r="F124" s="444"/>
      <c r="G124" s="525"/>
      <c r="H124" s="536"/>
      <c r="I124" s="538"/>
      <c r="J124" s="540"/>
      <c r="K124" s="52" t="s">
        <v>223</v>
      </c>
      <c r="L124" s="138">
        <f>L122*0.5</f>
        <v>2.8571428571428428E-3</v>
      </c>
      <c r="M124" s="541"/>
      <c r="N124" s="564"/>
      <c r="O124" s="49"/>
    </row>
    <row r="125" spans="1:15" s="152" customFormat="1" ht="10" hidden="1" x14ac:dyDescent="0.35">
      <c r="A125" s="510"/>
      <c r="B125" s="544"/>
      <c r="C125" s="412"/>
      <c r="D125" s="404"/>
      <c r="E125" s="515"/>
      <c r="F125" s="444"/>
      <c r="G125" s="525"/>
      <c r="H125" s="536"/>
      <c r="I125" s="538"/>
      <c r="J125" s="540"/>
      <c r="K125" s="52"/>
      <c r="L125" s="138">
        <f>L122*0.25</f>
        <v>1.4285714285714214E-3</v>
      </c>
      <c r="M125" s="541"/>
      <c r="N125" s="564"/>
      <c r="O125" s="49"/>
    </row>
    <row r="126" spans="1:15" s="152" customFormat="1" ht="48" customHeight="1" x14ac:dyDescent="0.35">
      <c r="A126" s="511"/>
      <c r="B126" s="545"/>
      <c r="C126" s="412"/>
      <c r="D126" s="404"/>
      <c r="E126" s="516"/>
      <c r="F126" s="445"/>
      <c r="G126" s="526"/>
      <c r="H126" s="536"/>
      <c r="I126" s="538"/>
      <c r="J126" s="540"/>
      <c r="K126" s="52" t="s">
        <v>224</v>
      </c>
      <c r="L126" s="138">
        <v>0</v>
      </c>
      <c r="M126" s="546"/>
      <c r="N126" s="563"/>
      <c r="O126" s="49"/>
    </row>
    <row r="127" spans="1:15" s="152" customFormat="1" ht="22.5" customHeight="1" x14ac:dyDescent="0.35">
      <c r="A127" s="510" t="s">
        <v>264</v>
      </c>
      <c r="B127" s="544" t="s">
        <v>261</v>
      </c>
      <c r="C127" s="445" t="s">
        <v>265</v>
      </c>
      <c r="D127" s="438" t="s">
        <v>220</v>
      </c>
      <c r="E127" s="441"/>
      <c r="F127" s="446"/>
      <c r="G127" s="524"/>
      <c r="H127" s="562" t="s">
        <v>27</v>
      </c>
      <c r="I127" s="537">
        <f>IF(H127='Response Guidlines'!$D$81,'Response Guidlines'!$C$81, IF(H127='Response Guidlines'!$D$82,'Response Guidlines'!$C$82,IF(H127='Response Guidlines'!$D$83,'Response Guidlines'!$C$83,IF(H127='Response Guidlines'!$D$84,'Response Guidlines'!$C$84,IF(H127='Response Guidlines'!$D$85,'Response Guidlines'!$C$85,IF(H127='Response Guidlines'!$D$86,'Response Guidlines'!$C$86,IF(H127='Response Guidlines'!$D$87,'Response Guidlines'!$C$87,"No Rating")))))))</f>
        <v>4</v>
      </c>
      <c r="J127" s="539">
        <f>(I127/$I$192)/_xlfn.XLOOKUP('Scoring Summary'!$D$19,'Response Guidlines'!$D$92:$D$191,'Response Guidlines'!$C$92:$C$191,"",0,1)</f>
        <v>5.7142857142856857E-3</v>
      </c>
      <c r="K127" s="56" t="s">
        <v>222</v>
      </c>
      <c r="L127" s="136">
        <f>J127</f>
        <v>5.7142857142856857E-3</v>
      </c>
      <c r="M127" s="541"/>
      <c r="N127" s="563" t="s">
        <v>263</v>
      </c>
      <c r="O127" s="77"/>
    </row>
    <row r="128" spans="1:15" s="152" customFormat="1" ht="11.25" hidden="1" customHeight="1" x14ac:dyDescent="0.35">
      <c r="A128" s="510"/>
      <c r="B128" s="544"/>
      <c r="C128" s="412"/>
      <c r="D128" s="404"/>
      <c r="E128" s="442"/>
      <c r="F128" s="444"/>
      <c r="G128" s="525"/>
      <c r="H128" s="562"/>
      <c r="I128" s="538"/>
      <c r="J128" s="540"/>
      <c r="K128" s="52"/>
      <c r="L128" s="138">
        <f>L127*0.75</f>
        <v>4.2857142857142642E-3</v>
      </c>
      <c r="M128" s="542"/>
      <c r="N128" s="563"/>
      <c r="O128" s="77"/>
    </row>
    <row r="129" spans="1:15" s="152" customFormat="1" ht="50.5" x14ac:dyDescent="0.35">
      <c r="A129" s="510"/>
      <c r="B129" s="544"/>
      <c r="C129" s="412"/>
      <c r="D129" s="404"/>
      <c r="E129" s="442"/>
      <c r="F129" s="444"/>
      <c r="G129" s="525"/>
      <c r="H129" s="562"/>
      <c r="I129" s="538"/>
      <c r="J129" s="540"/>
      <c r="K129" s="52" t="s">
        <v>223</v>
      </c>
      <c r="L129" s="138">
        <f>L127*0.5</f>
        <v>2.8571428571428428E-3</v>
      </c>
      <c r="M129" s="542"/>
      <c r="N129" s="564"/>
      <c r="O129" s="77"/>
    </row>
    <row r="130" spans="1:15" s="152" customFormat="1" ht="11.25" hidden="1" customHeight="1" x14ac:dyDescent="0.35">
      <c r="A130" s="510"/>
      <c r="B130" s="544"/>
      <c r="C130" s="412"/>
      <c r="D130" s="404"/>
      <c r="E130" s="442"/>
      <c r="F130" s="444"/>
      <c r="G130" s="525"/>
      <c r="H130" s="562"/>
      <c r="I130" s="538"/>
      <c r="J130" s="540"/>
      <c r="K130" s="52"/>
      <c r="L130" s="138">
        <f>L127*0.25</f>
        <v>1.4285714285714214E-3</v>
      </c>
      <c r="M130" s="542"/>
      <c r="N130" s="564"/>
      <c r="O130" s="77"/>
    </row>
    <row r="131" spans="1:15" s="152" customFormat="1" ht="50.5" x14ac:dyDescent="0.35">
      <c r="A131" s="511"/>
      <c r="B131" s="545"/>
      <c r="C131" s="412"/>
      <c r="D131" s="404"/>
      <c r="E131" s="443"/>
      <c r="F131" s="445"/>
      <c r="G131" s="526"/>
      <c r="H131" s="562"/>
      <c r="I131" s="538"/>
      <c r="J131" s="540"/>
      <c r="K131" s="52" t="s">
        <v>224</v>
      </c>
      <c r="L131" s="138">
        <v>0</v>
      </c>
      <c r="M131" s="543"/>
      <c r="N131" s="563"/>
      <c r="O131" s="77"/>
    </row>
    <row r="132" spans="1:15" s="152" customFormat="1" ht="22.5" customHeight="1" x14ac:dyDescent="0.35">
      <c r="A132" s="510" t="s">
        <v>266</v>
      </c>
      <c r="B132" s="544" t="s">
        <v>261</v>
      </c>
      <c r="C132" s="445" t="s">
        <v>267</v>
      </c>
      <c r="D132" s="438" t="s">
        <v>220</v>
      </c>
      <c r="E132" s="560"/>
      <c r="F132" s="517"/>
      <c r="G132" s="519"/>
      <c r="H132" s="536" t="s">
        <v>27</v>
      </c>
      <c r="I132" s="537">
        <f>IF(H132='Response Guidlines'!$D$81,'Response Guidlines'!$C$81, IF(H132='Response Guidlines'!$D$82,'Response Guidlines'!$C$82,IF(H132='Response Guidlines'!$D$83,'Response Guidlines'!$C$83,IF(H132='Response Guidlines'!$D$84,'Response Guidlines'!$C$84,IF(H132='Response Guidlines'!$D$85,'Response Guidlines'!$C$85,IF(H132='Response Guidlines'!$D$86,'Response Guidlines'!$C$86,IF(H132='Response Guidlines'!$D$87,'Response Guidlines'!$C$87,"No Rating")))))))</f>
        <v>4</v>
      </c>
      <c r="J132" s="539">
        <f>(I132/$I$192)/_xlfn.XLOOKUP('Scoring Summary'!$D$19,'Response Guidlines'!$D$92:$D$191,'Response Guidlines'!$C$92:$C$191,"",0,1)</f>
        <v>5.7142857142856857E-3</v>
      </c>
      <c r="K132" s="56" t="s">
        <v>222</v>
      </c>
      <c r="L132" s="136">
        <f>J132</f>
        <v>5.7142857142856857E-3</v>
      </c>
      <c r="M132" s="543"/>
      <c r="N132" s="563" t="s">
        <v>263</v>
      </c>
      <c r="O132" s="77"/>
    </row>
    <row r="133" spans="1:15" s="152" customFormat="1" ht="11.25" hidden="1" customHeight="1" x14ac:dyDescent="0.35">
      <c r="A133" s="510"/>
      <c r="B133" s="544"/>
      <c r="C133" s="412"/>
      <c r="D133" s="404"/>
      <c r="E133" s="560"/>
      <c r="F133" s="517"/>
      <c r="G133" s="519"/>
      <c r="H133" s="536"/>
      <c r="I133" s="538"/>
      <c r="J133" s="540"/>
      <c r="K133" s="52"/>
      <c r="L133" s="138">
        <f>L132*0.75</f>
        <v>4.2857142857142642E-3</v>
      </c>
      <c r="M133" s="546"/>
      <c r="N133" s="563"/>
      <c r="O133" s="77"/>
    </row>
    <row r="134" spans="1:15" s="152" customFormat="1" ht="50.5" x14ac:dyDescent="0.35">
      <c r="A134" s="510"/>
      <c r="B134" s="544"/>
      <c r="C134" s="412"/>
      <c r="D134" s="404"/>
      <c r="E134" s="560"/>
      <c r="F134" s="517"/>
      <c r="G134" s="519"/>
      <c r="H134" s="536"/>
      <c r="I134" s="538"/>
      <c r="J134" s="540"/>
      <c r="K134" s="52" t="s">
        <v>223</v>
      </c>
      <c r="L134" s="138">
        <f>L132*0.5</f>
        <v>2.8571428571428428E-3</v>
      </c>
      <c r="M134" s="546"/>
      <c r="N134" s="564"/>
      <c r="O134" s="77"/>
    </row>
    <row r="135" spans="1:15" s="152" customFormat="1" ht="11.25" hidden="1" customHeight="1" x14ac:dyDescent="0.35">
      <c r="A135" s="510"/>
      <c r="B135" s="544"/>
      <c r="C135" s="412"/>
      <c r="D135" s="404"/>
      <c r="E135" s="560"/>
      <c r="F135" s="517"/>
      <c r="G135" s="519"/>
      <c r="H135" s="536"/>
      <c r="I135" s="538"/>
      <c r="J135" s="540"/>
      <c r="K135" s="52"/>
      <c r="L135" s="138">
        <f>L132*0.25</f>
        <v>1.4285714285714214E-3</v>
      </c>
      <c r="M135" s="546"/>
      <c r="N135" s="564"/>
      <c r="O135" s="77"/>
    </row>
    <row r="136" spans="1:15" s="152" customFormat="1" ht="50.5" x14ac:dyDescent="0.35">
      <c r="A136" s="511"/>
      <c r="B136" s="545"/>
      <c r="C136" s="412"/>
      <c r="D136" s="404"/>
      <c r="E136" s="561"/>
      <c r="F136" s="518"/>
      <c r="G136" s="520"/>
      <c r="H136" s="536"/>
      <c r="I136" s="538"/>
      <c r="J136" s="540"/>
      <c r="K136" s="52" t="s">
        <v>224</v>
      </c>
      <c r="L136" s="138">
        <v>0</v>
      </c>
      <c r="M136" s="546"/>
      <c r="N136" s="563"/>
      <c r="O136" s="77"/>
    </row>
    <row r="137" spans="1:15" s="152" customFormat="1" ht="11.25" customHeight="1" x14ac:dyDescent="0.35">
      <c r="A137" s="510" t="s">
        <v>268</v>
      </c>
      <c r="B137" s="544" t="s">
        <v>261</v>
      </c>
      <c r="C137" s="412" t="s">
        <v>269</v>
      </c>
      <c r="D137" s="438" t="s">
        <v>220</v>
      </c>
      <c r="E137" s="560"/>
      <c r="F137" s="517"/>
      <c r="G137" s="519"/>
      <c r="H137" s="536" t="s">
        <v>27</v>
      </c>
      <c r="I137" s="537">
        <f>IF(H137='Response Guidlines'!$D$81,'Response Guidlines'!$C$81, IF(H137='Response Guidlines'!$D$82,'Response Guidlines'!$C$82,IF(H137='Response Guidlines'!$D$83,'Response Guidlines'!$C$83,IF(H137='Response Guidlines'!$D$84,'Response Guidlines'!$C$84,IF(H137='Response Guidlines'!$D$85,'Response Guidlines'!$C$85,IF(H137='Response Guidlines'!$D$86,'Response Guidlines'!$C$86,IF(H137='Response Guidlines'!$D$87,'Response Guidlines'!$C$87,"No Rating")))))))</f>
        <v>4</v>
      </c>
      <c r="J137" s="539">
        <f>(I137/$I$192)/_xlfn.XLOOKUP('Scoring Summary'!$D$19,'Response Guidlines'!$D$92:$D$191,'Response Guidlines'!$C$92:$C$191,"",0,1)</f>
        <v>5.7142857142856857E-3</v>
      </c>
      <c r="K137" s="56" t="s">
        <v>222</v>
      </c>
      <c r="L137" s="136">
        <f>J137</f>
        <v>5.7142857142856857E-3</v>
      </c>
      <c r="M137" s="543"/>
      <c r="N137" s="563" t="s">
        <v>263</v>
      </c>
      <c r="O137" s="49"/>
    </row>
    <row r="138" spans="1:15" s="152" customFormat="1" ht="11.25" hidden="1" customHeight="1" x14ac:dyDescent="0.35">
      <c r="A138" s="510"/>
      <c r="B138" s="544"/>
      <c r="C138" s="412"/>
      <c r="D138" s="404"/>
      <c r="E138" s="560"/>
      <c r="F138" s="517"/>
      <c r="G138" s="519"/>
      <c r="H138" s="536"/>
      <c r="I138" s="538"/>
      <c r="J138" s="540"/>
      <c r="K138" s="52"/>
      <c r="L138" s="138">
        <f>L137*0.75</f>
        <v>4.2857142857142642E-3</v>
      </c>
      <c r="M138" s="546"/>
      <c r="N138" s="563"/>
      <c r="O138" s="49"/>
    </row>
    <row r="139" spans="1:15" s="152" customFormat="1" ht="50.5" x14ac:dyDescent="0.35">
      <c r="A139" s="510"/>
      <c r="B139" s="544"/>
      <c r="C139" s="446"/>
      <c r="D139" s="404"/>
      <c r="E139" s="560"/>
      <c r="F139" s="517"/>
      <c r="G139" s="519"/>
      <c r="H139" s="536"/>
      <c r="I139" s="538"/>
      <c r="J139" s="540"/>
      <c r="K139" s="52" t="s">
        <v>223</v>
      </c>
      <c r="L139" s="138">
        <f>L137*0.5</f>
        <v>2.8571428571428428E-3</v>
      </c>
      <c r="M139" s="546"/>
      <c r="N139" s="564"/>
      <c r="O139" s="49"/>
    </row>
    <row r="140" spans="1:15" s="152" customFormat="1" ht="11.25" hidden="1" customHeight="1" x14ac:dyDescent="0.35">
      <c r="A140" s="510"/>
      <c r="B140" s="544"/>
      <c r="C140" s="446"/>
      <c r="D140" s="404"/>
      <c r="E140" s="560"/>
      <c r="F140" s="517"/>
      <c r="G140" s="519"/>
      <c r="H140" s="536"/>
      <c r="I140" s="538"/>
      <c r="J140" s="540"/>
      <c r="K140" s="52"/>
      <c r="L140" s="138">
        <f>L137*0.25</f>
        <v>1.4285714285714214E-3</v>
      </c>
      <c r="M140" s="546"/>
      <c r="N140" s="564"/>
      <c r="O140" s="49"/>
    </row>
    <row r="141" spans="1:15" s="152" customFormat="1" ht="50.5" x14ac:dyDescent="0.35">
      <c r="A141" s="511"/>
      <c r="B141" s="545"/>
      <c r="C141" s="412"/>
      <c r="D141" s="404"/>
      <c r="E141" s="561"/>
      <c r="F141" s="518"/>
      <c r="G141" s="520"/>
      <c r="H141" s="536"/>
      <c r="I141" s="538"/>
      <c r="J141" s="540"/>
      <c r="K141" s="52" t="s">
        <v>224</v>
      </c>
      <c r="L141" s="138">
        <v>0</v>
      </c>
      <c r="M141" s="546"/>
      <c r="N141" s="563"/>
      <c r="O141" s="49"/>
    </row>
    <row r="142" spans="1:15" s="152" customFormat="1" ht="22.5" customHeight="1" x14ac:dyDescent="0.35">
      <c r="A142" s="510" t="s">
        <v>270</v>
      </c>
      <c r="B142" s="544" t="s">
        <v>261</v>
      </c>
      <c r="C142" s="412" t="s">
        <v>271</v>
      </c>
      <c r="D142" s="438" t="s">
        <v>220</v>
      </c>
      <c r="E142" s="560"/>
      <c r="F142" s="517"/>
      <c r="G142" s="519"/>
      <c r="H142" s="536" t="s">
        <v>27</v>
      </c>
      <c r="I142" s="537">
        <f>IF(H142='Response Guidlines'!$D$81,'Response Guidlines'!$C$81, IF(H142='Response Guidlines'!$D$82,'Response Guidlines'!$C$82,IF(H142='Response Guidlines'!$D$83,'Response Guidlines'!$C$83,IF(H142='Response Guidlines'!$D$84,'Response Guidlines'!$C$84,IF(H142='Response Guidlines'!$D$85,'Response Guidlines'!$C$85,IF(H142='Response Guidlines'!$D$86,'Response Guidlines'!$C$86,IF(H142='Response Guidlines'!$D$87,'Response Guidlines'!$C$87,"No Rating")))))))</f>
        <v>4</v>
      </c>
      <c r="J142" s="539">
        <f>(I142/$I$192)/_xlfn.XLOOKUP('Scoring Summary'!$D$19,'Response Guidlines'!$D$92:$D$191,'Response Guidlines'!$C$92:$C$191,"",0,1)</f>
        <v>5.7142857142856857E-3</v>
      </c>
      <c r="K142" s="56" t="s">
        <v>222</v>
      </c>
      <c r="L142" s="136">
        <f>J142</f>
        <v>5.7142857142856857E-3</v>
      </c>
      <c r="M142" s="543"/>
      <c r="N142" s="563" t="s">
        <v>263</v>
      </c>
      <c r="O142" s="49"/>
    </row>
    <row r="143" spans="1:15" s="152" customFormat="1" ht="11.25" hidden="1" customHeight="1" x14ac:dyDescent="0.35">
      <c r="A143" s="510"/>
      <c r="B143" s="544"/>
      <c r="C143" s="412"/>
      <c r="D143" s="404"/>
      <c r="E143" s="560"/>
      <c r="F143" s="517"/>
      <c r="G143" s="519"/>
      <c r="H143" s="536"/>
      <c r="I143" s="538"/>
      <c r="J143" s="540"/>
      <c r="K143" s="52"/>
      <c r="L143" s="138">
        <f>L142*0.75</f>
        <v>4.2857142857142642E-3</v>
      </c>
      <c r="M143" s="546"/>
      <c r="N143" s="563"/>
      <c r="O143" s="49"/>
    </row>
    <row r="144" spans="1:15" s="152" customFormat="1" ht="50.5" x14ac:dyDescent="0.35">
      <c r="A144" s="510"/>
      <c r="B144" s="544"/>
      <c r="C144" s="446"/>
      <c r="D144" s="404"/>
      <c r="E144" s="560"/>
      <c r="F144" s="517"/>
      <c r="G144" s="519"/>
      <c r="H144" s="536"/>
      <c r="I144" s="538"/>
      <c r="J144" s="540"/>
      <c r="K144" s="52" t="s">
        <v>223</v>
      </c>
      <c r="L144" s="138">
        <f>L142*0.5</f>
        <v>2.8571428571428428E-3</v>
      </c>
      <c r="M144" s="546"/>
      <c r="N144" s="564"/>
      <c r="O144" s="49"/>
    </row>
    <row r="145" spans="1:14" s="152" customFormat="1" ht="11.25" hidden="1" customHeight="1" x14ac:dyDescent="0.35">
      <c r="A145" s="510"/>
      <c r="B145" s="544"/>
      <c r="C145" s="446"/>
      <c r="D145" s="404"/>
      <c r="E145" s="560"/>
      <c r="F145" s="517"/>
      <c r="G145" s="519"/>
      <c r="H145" s="536"/>
      <c r="I145" s="538"/>
      <c r="J145" s="540"/>
      <c r="K145" s="52"/>
      <c r="L145" s="138">
        <f>L142*0.25</f>
        <v>1.4285714285714214E-3</v>
      </c>
      <c r="M145" s="546"/>
      <c r="N145" s="564"/>
    </row>
    <row r="146" spans="1:14" s="152" customFormat="1" ht="50.5" x14ac:dyDescent="0.35">
      <c r="A146" s="511"/>
      <c r="B146" s="545"/>
      <c r="C146" s="412"/>
      <c r="D146" s="404"/>
      <c r="E146" s="561"/>
      <c r="F146" s="518"/>
      <c r="G146" s="520"/>
      <c r="H146" s="536"/>
      <c r="I146" s="538"/>
      <c r="J146" s="540"/>
      <c r="K146" s="52" t="s">
        <v>224</v>
      </c>
      <c r="L146" s="138">
        <v>0</v>
      </c>
      <c r="M146" s="546"/>
      <c r="N146" s="563"/>
    </row>
    <row r="147" spans="1:14" s="152" customFormat="1" ht="22.5" customHeight="1" x14ac:dyDescent="0.35">
      <c r="A147" s="510" t="s">
        <v>272</v>
      </c>
      <c r="B147" s="544" t="s">
        <v>261</v>
      </c>
      <c r="C147" s="412" t="s">
        <v>273</v>
      </c>
      <c r="D147" s="438" t="s">
        <v>220</v>
      </c>
      <c r="E147" s="560"/>
      <c r="F147" s="517"/>
      <c r="G147" s="519"/>
      <c r="H147" s="536" t="s">
        <v>27</v>
      </c>
      <c r="I147" s="537">
        <f>IF(H147='Response Guidlines'!$D$81,'Response Guidlines'!$C$81, IF(H147='Response Guidlines'!$D$82,'Response Guidlines'!$C$82,IF(H147='Response Guidlines'!$D$83,'Response Guidlines'!$C$83,IF(H147='Response Guidlines'!$D$84,'Response Guidlines'!$C$84,IF(H147='Response Guidlines'!$D$85,'Response Guidlines'!$C$85,IF(H147='Response Guidlines'!$D$86,'Response Guidlines'!$C$86,IF(H147='Response Guidlines'!$D$87,'Response Guidlines'!$C$87,"No Rating")))))))</f>
        <v>4</v>
      </c>
      <c r="J147" s="539">
        <f>(I147/$I$192)/_xlfn.XLOOKUP('Scoring Summary'!$D$19,'Response Guidlines'!$D$92:$D$191,'Response Guidlines'!$C$92:$C$191,"",0,1)</f>
        <v>5.7142857142856857E-3</v>
      </c>
      <c r="K147" s="56" t="s">
        <v>222</v>
      </c>
      <c r="L147" s="136">
        <f>J147</f>
        <v>5.7142857142856857E-3</v>
      </c>
      <c r="M147" s="543"/>
      <c r="N147" s="563" t="s">
        <v>263</v>
      </c>
    </row>
    <row r="148" spans="1:14" s="152" customFormat="1" ht="11.25" hidden="1" customHeight="1" x14ac:dyDescent="0.35">
      <c r="A148" s="510"/>
      <c r="B148" s="544"/>
      <c r="C148" s="412"/>
      <c r="D148" s="404"/>
      <c r="E148" s="560"/>
      <c r="F148" s="517"/>
      <c r="G148" s="519"/>
      <c r="H148" s="536"/>
      <c r="I148" s="538"/>
      <c r="J148" s="540"/>
      <c r="K148" s="52"/>
      <c r="L148" s="138">
        <f>L147*0.75</f>
        <v>4.2857142857142642E-3</v>
      </c>
      <c r="M148" s="546"/>
      <c r="N148" s="563"/>
    </row>
    <row r="149" spans="1:14" s="152" customFormat="1" ht="50.5" x14ac:dyDescent="0.35">
      <c r="A149" s="510"/>
      <c r="B149" s="544"/>
      <c r="C149" s="446"/>
      <c r="D149" s="404"/>
      <c r="E149" s="560"/>
      <c r="F149" s="517"/>
      <c r="G149" s="519"/>
      <c r="H149" s="536"/>
      <c r="I149" s="538"/>
      <c r="J149" s="540"/>
      <c r="K149" s="52" t="s">
        <v>223</v>
      </c>
      <c r="L149" s="138">
        <f>L147*0.5</f>
        <v>2.8571428571428428E-3</v>
      </c>
      <c r="M149" s="546"/>
      <c r="N149" s="564"/>
    </row>
    <row r="150" spans="1:14" s="152" customFormat="1" ht="11.25" hidden="1" customHeight="1" x14ac:dyDescent="0.35">
      <c r="A150" s="510"/>
      <c r="B150" s="544"/>
      <c r="C150" s="446"/>
      <c r="D150" s="404"/>
      <c r="E150" s="560"/>
      <c r="F150" s="517"/>
      <c r="G150" s="519"/>
      <c r="H150" s="536"/>
      <c r="I150" s="538"/>
      <c r="J150" s="540"/>
      <c r="K150" s="52"/>
      <c r="L150" s="138">
        <f>L147*0.25</f>
        <v>1.4285714285714214E-3</v>
      </c>
      <c r="M150" s="546"/>
      <c r="N150" s="564"/>
    </row>
    <row r="151" spans="1:14" s="152" customFormat="1" ht="50.5" x14ac:dyDescent="0.35">
      <c r="A151" s="511"/>
      <c r="B151" s="545"/>
      <c r="C151" s="412"/>
      <c r="D151" s="404"/>
      <c r="E151" s="561"/>
      <c r="F151" s="518"/>
      <c r="G151" s="520"/>
      <c r="H151" s="536"/>
      <c r="I151" s="538"/>
      <c r="J151" s="540"/>
      <c r="K151" s="52" t="s">
        <v>224</v>
      </c>
      <c r="L151" s="138">
        <v>0</v>
      </c>
      <c r="M151" s="546"/>
      <c r="N151" s="563"/>
    </row>
    <row r="152" spans="1:14" s="152" customFormat="1" ht="22.5" customHeight="1" x14ac:dyDescent="0.35">
      <c r="A152" s="510" t="s">
        <v>274</v>
      </c>
      <c r="B152" s="544" t="s">
        <v>261</v>
      </c>
      <c r="C152" s="412" t="s">
        <v>275</v>
      </c>
      <c r="D152" s="438" t="s">
        <v>220</v>
      </c>
      <c r="E152" s="560"/>
      <c r="F152" s="517"/>
      <c r="G152" s="519"/>
      <c r="H152" s="536" t="s">
        <v>27</v>
      </c>
      <c r="I152" s="537">
        <f>IF(H152='Response Guidlines'!$D$81,'Response Guidlines'!$C$81, IF(H152='Response Guidlines'!$D$82,'Response Guidlines'!$C$82,IF(H152='Response Guidlines'!$D$83,'Response Guidlines'!$C$83,IF(H152='Response Guidlines'!$D$84,'Response Guidlines'!$C$84,IF(H152='Response Guidlines'!$D$85,'Response Guidlines'!$C$85,IF(H152='Response Guidlines'!$D$86,'Response Guidlines'!$C$86,IF(H152='Response Guidlines'!$D$87,'Response Guidlines'!$C$87,"No Rating")))))))</f>
        <v>4</v>
      </c>
      <c r="J152" s="539">
        <f>(I152/$I$192)/_xlfn.XLOOKUP('Scoring Summary'!$D$19,'Response Guidlines'!$D$92:$D$191,'Response Guidlines'!$C$92:$C$191,"",0,1)</f>
        <v>5.7142857142856857E-3</v>
      </c>
      <c r="K152" s="56" t="s">
        <v>222</v>
      </c>
      <c r="L152" s="136">
        <f>J152</f>
        <v>5.7142857142856857E-3</v>
      </c>
      <c r="M152" s="543"/>
      <c r="N152" s="563" t="s">
        <v>263</v>
      </c>
    </row>
    <row r="153" spans="1:14" s="152" customFormat="1" ht="11.25" hidden="1" customHeight="1" x14ac:dyDescent="0.35">
      <c r="A153" s="510"/>
      <c r="B153" s="544"/>
      <c r="C153" s="412"/>
      <c r="D153" s="404"/>
      <c r="E153" s="560"/>
      <c r="F153" s="517"/>
      <c r="G153" s="519"/>
      <c r="H153" s="536"/>
      <c r="I153" s="538"/>
      <c r="J153" s="540"/>
      <c r="K153" s="52"/>
      <c r="L153" s="138">
        <f>L152*0.75</f>
        <v>4.2857142857142642E-3</v>
      </c>
      <c r="M153" s="546"/>
      <c r="N153" s="563"/>
    </row>
    <row r="154" spans="1:14" s="152" customFormat="1" ht="50.5" x14ac:dyDescent="0.35">
      <c r="A154" s="510"/>
      <c r="B154" s="544"/>
      <c r="C154" s="446"/>
      <c r="D154" s="404"/>
      <c r="E154" s="560"/>
      <c r="F154" s="517"/>
      <c r="G154" s="519"/>
      <c r="H154" s="536"/>
      <c r="I154" s="538"/>
      <c r="J154" s="540"/>
      <c r="K154" s="52" t="s">
        <v>223</v>
      </c>
      <c r="L154" s="138">
        <f>L152*0.5</f>
        <v>2.8571428571428428E-3</v>
      </c>
      <c r="M154" s="546"/>
      <c r="N154" s="564"/>
    </row>
    <row r="155" spans="1:14" s="152" customFormat="1" ht="11.25" hidden="1" customHeight="1" x14ac:dyDescent="0.35">
      <c r="A155" s="510"/>
      <c r="B155" s="544"/>
      <c r="C155" s="446"/>
      <c r="D155" s="404"/>
      <c r="E155" s="560"/>
      <c r="F155" s="517"/>
      <c r="G155" s="519"/>
      <c r="H155" s="536"/>
      <c r="I155" s="538"/>
      <c r="J155" s="540"/>
      <c r="K155" s="52"/>
      <c r="L155" s="138">
        <f>L152*0.25</f>
        <v>1.4285714285714214E-3</v>
      </c>
      <c r="M155" s="546"/>
      <c r="N155" s="564"/>
    </row>
    <row r="156" spans="1:14" s="152" customFormat="1" ht="50.5" x14ac:dyDescent="0.35">
      <c r="A156" s="511"/>
      <c r="B156" s="545"/>
      <c r="C156" s="412"/>
      <c r="D156" s="404"/>
      <c r="E156" s="561"/>
      <c r="F156" s="518"/>
      <c r="G156" s="520"/>
      <c r="H156" s="536"/>
      <c r="I156" s="538"/>
      <c r="J156" s="540"/>
      <c r="K156" s="52" t="s">
        <v>224</v>
      </c>
      <c r="L156" s="138">
        <v>0</v>
      </c>
      <c r="M156" s="546"/>
      <c r="N156" s="563"/>
    </row>
    <row r="157" spans="1:14" s="152" customFormat="1" ht="22.5" customHeight="1" x14ac:dyDescent="0.35">
      <c r="A157" s="510" t="s">
        <v>276</v>
      </c>
      <c r="B157" s="544" t="s">
        <v>261</v>
      </c>
      <c r="C157" s="412" t="s">
        <v>277</v>
      </c>
      <c r="D157" s="438" t="s">
        <v>220</v>
      </c>
      <c r="E157" s="560"/>
      <c r="F157" s="517"/>
      <c r="G157" s="519"/>
      <c r="H157" s="536" t="s">
        <v>27</v>
      </c>
      <c r="I157" s="537">
        <f>IF(H157='Response Guidlines'!$D$81,'Response Guidlines'!$C$81, IF(H157='Response Guidlines'!$D$82,'Response Guidlines'!$C$82,IF(H157='Response Guidlines'!$D$83,'Response Guidlines'!$C$83,IF(H157='Response Guidlines'!$D$84,'Response Guidlines'!$C$84,IF(H157='Response Guidlines'!$D$85,'Response Guidlines'!$C$85,IF(H157='Response Guidlines'!$D$86,'Response Guidlines'!$C$86,IF(H157='Response Guidlines'!$D$87,'Response Guidlines'!$C$87,"No Rating")))))))</f>
        <v>4</v>
      </c>
      <c r="J157" s="539">
        <f>(I157/$I$192)/_xlfn.XLOOKUP('Scoring Summary'!$D$19,'Response Guidlines'!$D$92:$D$191,'Response Guidlines'!$C$92:$C$191,"",0,1)</f>
        <v>5.7142857142856857E-3</v>
      </c>
      <c r="K157" s="56" t="s">
        <v>222</v>
      </c>
      <c r="L157" s="136">
        <f>J157</f>
        <v>5.7142857142856857E-3</v>
      </c>
      <c r="M157" s="543"/>
      <c r="N157" s="563" t="s">
        <v>263</v>
      </c>
    </row>
    <row r="158" spans="1:14" s="152" customFormat="1" ht="11.25" hidden="1" customHeight="1" x14ac:dyDescent="0.35">
      <c r="A158" s="510"/>
      <c r="B158" s="544"/>
      <c r="C158" s="412"/>
      <c r="D158" s="404"/>
      <c r="E158" s="560"/>
      <c r="F158" s="517"/>
      <c r="G158" s="519"/>
      <c r="H158" s="536"/>
      <c r="I158" s="538"/>
      <c r="J158" s="540"/>
      <c r="K158" s="52"/>
      <c r="L158" s="138">
        <f>L157*0.75</f>
        <v>4.2857142857142642E-3</v>
      </c>
      <c r="M158" s="546"/>
      <c r="N158" s="563"/>
    </row>
    <row r="159" spans="1:14" s="152" customFormat="1" ht="50.5" x14ac:dyDescent="0.35">
      <c r="A159" s="510"/>
      <c r="B159" s="544"/>
      <c r="C159" s="446"/>
      <c r="D159" s="404"/>
      <c r="E159" s="560"/>
      <c r="F159" s="517"/>
      <c r="G159" s="519"/>
      <c r="H159" s="536"/>
      <c r="I159" s="538"/>
      <c r="J159" s="540"/>
      <c r="K159" s="52" t="s">
        <v>223</v>
      </c>
      <c r="L159" s="138">
        <f>L157*0.5</f>
        <v>2.8571428571428428E-3</v>
      </c>
      <c r="M159" s="546"/>
      <c r="N159" s="564"/>
    </row>
    <row r="160" spans="1:14" s="152" customFormat="1" ht="11.25" hidden="1" customHeight="1" x14ac:dyDescent="0.35">
      <c r="A160" s="510"/>
      <c r="B160" s="544"/>
      <c r="C160" s="446"/>
      <c r="D160" s="404"/>
      <c r="E160" s="560"/>
      <c r="F160" s="517"/>
      <c r="G160" s="519"/>
      <c r="H160" s="536"/>
      <c r="I160" s="538"/>
      <c r="J160" s="540"/>
      <c r="K160" s="52"/>
      <c r="L160" s="138">
        <f>L157*0.25</f>
        <v>1.4285714285714214E-3</v>
      </c>
      <c r="M160" s="546"/>
      <c r="N160" s="564"/>
    </row>
    <row r="161" spans="1:14" s="152" customFormat="1" ht="50.5" x14ac:dyDescent="0.35">
      <c r="A161" s="511"/>
      <c r="B161" s="545"/>
      <c r="C161" s="412"/>
      <c r="D161" s="404"/>
      <c r="E161" s="561"/>
      <c r="F161" s="518"/>
      <c r="G161" s="520"/>
      <c r="H161" s="536"/>
      <c r="I161" s="538"/>
      <c r="J161" s="540"/>
      <c r="K161" s="52" t="s">
        <v>224</v>
      </c>
      <c r="L161" s="138">
        <v>0</v>
      </c>
      <c r="M161" s="546"/>
      <c r="N161" s="563"/>
    </row>
    <row r="162" spans="1:14" s="152" customFormat="1" ht="11.25" customHeight="1" x14ac:dyDescent="0.35">
      <c r="A162" s="510" t="s">
        <v>278</v>
      </c>
      <c r="B162" s="544" t="s">
        <v>279</v>
      </c>
      <c r="C162" s="412" t="s">
        <v>280</v>
      </c>
      <c r="D162" s="438" t="s">
        <v>220</v>
      </c>
      <c r="E162" s="560"/>
      <c r="F162" s="517"/>
      <c r="G162" s="519"/>
      <c r="H162" s="536" t="s">
        <v>27</v>
      </c>
      <c r="I162" s="537">
        <f>IF(H162='Response Guidlines'!$D$81,'Response Guidlines'!$C$81, IF(H162='Response Guidlines'!$D$82,'Response Guidlines'!$C$82,IF(H162='Response Guidlines'!$D$83,'Response Guidlines'!$C$83,IF(H162='Response Guidlines'!$D$84,'Response Guidlines'!$C$84,IF(H162='Response Guidlines'!$D$85,'Response Guidlines'!$C$85,IF(H162='Response Guidlines'!$D$86,'Response Guidlines'!$C$86,IF(H162='Response Guidlines'!$D$87,'Response Guidlines'!$C$87,"No Rating")))))))</f>
        <v>4</v>
      </c>
      <c r="J162" s="539">
        <f>(I162/$I$192)/_xlfn.XLOOKUP('Scoring Summary'!$D$19,'Response Guidlines'!$D$92:$D$191,'Response Guidlines'!$C$92:$C$191,"",0,1)</f>
        <v>5.7142857142856857E-3</v>
      </c>
      <c r="K162" s="56" t="s">
        <v>222</v>
      </c>
      <c r="L162" s="136">
        <f>J162</f>
        <v>5.7142857142856857E-3</v>
      </c>
      <c r="M162" s="543"/>
      <c r="N162" s="565" t="s">
        <v>281</v>
      </c>
    </row>
    <row r="163" spans="1:14" s="152" customFormat="1" ht="11.25" hidden="1" customHeight="1" x14ac:dyDescent="0.35">
      <c r="A163" s="510"/>
      <c r="B163" s="544"/>
      <c r="C163" s="412"/>
      <c r="D163" s="404"/>
      <c r="E163" s="560"/>
      <c r="F163" s="517"/>
      <c r="G163" s="519"/>
      <c r="H163" s="536"/>
      <c r="I163" s="538"/>
      <c r="J163" s="540"/>
      <c r="K163" s="52"/>
      <c r="L163" s="138">
        <f>L162*0.75</f>
        <v>4.2857142857142642E-3</v>
      </c>
      <c r="M163" s="546"/>
      <c r="N163" s="565"/>
    </row>
    <row r="164" spans="1:14" s="152" customFormat="1" ht="50.5" x14ac:dyDescent="0.35">
      <c r="A164" s="510"/>
      <c r="B164" s="544"/>
      <c r="C164" s="446"/>
      <c r="D164" s="404"/>
      <c r="E164" s="560"/>
      <c r="F164" s="517"/>
      <c r="G164" s="519"/>
      <c r="H164" s="536"/>
      <c r="I164" s="538"/>
      <c r="J164" s="540"/>
      <c r="K164" s="52" t="s">
        <v>223</v>
      </c>
      <c r="L164" s="138">
        <f>L162*0.5</f>
        <v>2.8571428571428428E-3</v>
      </c>
      <c r="M164" s="546"/>
      <c r="N164" s="566"/>
    </row>
    <row r="165" spans="1:14" s="152" customFormat="1" ht="11.25" hidden="1" customHeight="1" x14ac:dyDescent="0.35">
      <c r="A165" s="510"/>
      <c r="B165" s="544"/>
      <c r="C165" s="446"/>
      <c r="D165" s="404"/>
      <c r="E165" s="560"/>
      <c r="F165" s="517"/>
      <c r="G165" s="519"/>
      <c r="H165" s="536"/>
      <c r="I165" s="538"/>
      <c r="J165" s="540"/>
      <c r="K165" s="52"/>
      <c r="L165" s="138">
        <f>L162*0.25</f>
        <v>1.4285714285714214E-3</v>
      </c>
      <c r="M165" s="546"/>
      <c r="N165" s="566"/>
    </row>
    <row r="166" spans="1:14" s="152" customFormat="1" ht="50.5" x14ac:dyDescent="0.35">
      <c r="A166" s="511"/>
      <c r="B166" s="545"/>
      <c r="C166" s="412"/>
      <c r="D166" s="404"/>
      <c r="E166" s="561"/>
      <c r="F166" s="518"/>
      <c r="G166" s="520"/>
      <c r="H166" s="536"/>
      <c r="I166" s="538"/>
      <c r="J166" s="540"/>
      <c r="K166" s="52" t="s">
        <v>224</v>
      </c>
      <c r="L166" s="138">
        <v>0</v>
      </c>
      <c r="M166" s="546"/>
      <c r="N166" s="565"/>
    </row>
    <row r="167" spans="1:14" s="152" customFormat="1" ht="11.25" customHeight="1" x14ac:dyDescent="0.35">
      <c r="A167" s="510" t="s">
        <v>282</v>
      </c>
      <c r="B167" s="544" t="s">
        <v>214</v>
      </c>
      <c r="C167" s="412" t="s">
        <v>283</v>
      </c>
      <c r="D167" s="438" t="s">
        <v>220</v>
      </c>
      <c r="E167" s="560"/>
      <c r="F167" s="517"/>
      <c r="G167" s="519"/>
      <c r="H167" s="536" t="s">
        <v>27</v>
      </c>
      <c r="I167" s="537">
        <f>IF(H167='Response Guidlines'!$D$81,'Response Guidlines'!$C$81, IF(H167='Response Guidlines'!$D$82,'Response Guidlines'!$C$82,IF(H167='Response Guidlines'!$D$83,'Response Guidlines'!$C$83,IF(H167='Response Guidlines'!$D$84,'Response Guidlines'!$C$84,IF(H167='Response Guidlines'!$D$85,'Response Guidlines'!$C$85,IF(H167='Response Guidlines'!$D$86,'Response Guidlines'!$C$86,IF(H167='Response Guidlines'!$D$87,'Response Guidlines'!$C$87,"No Rating")))))))</f>
        <v>4</v>
      </c>
      <c r="J167" s="539">
        <f>(I167/$I$192)/_xlfn.XLOOKUP('Scoring Summary'!$D$19,'Response Guidlines'!$D$92:$D$191,'Response Guidlines'!$C$92:$C$191,"",0,1)</f>
        <v>5.7142857142856857E-3</v>
      </c>
      <c r="K167" s="56" t="s">
        <v>222</v>
      </c>
      <c r="L167" s="136">
        <f>J167</f>
        <v>5.7142857142856857E-3</v>
      </c>
      <c r="M167" s="543"/>
      <c r="N167" s="565" t="s">
        <v>284</v>
      </c>
    </row>
    <row r="168" spans="1:14" s="152" customFormat="1" ht="11.25" hidden="1" customHeight="1" x14ac:dyDescent="0.35">
      <c r="A168" s="510"/>
      <c r="B168" s="544"/>
      <c r="C168" s="412"/>
      <c r="D168" s="404"/>
      <c r="E168" s="560"/>
      <c r="F168" s="517"/>
      <c r="G168" s="519"/>
      <c r="H168" s="536"/>
      <c r="I168" s="538"/>
      <c r="J168" s="540"/>
      <c r="K168" s="52"/>
      <c r="L168" s="138">
        <f>L167*0.75</f>
        <v>4.2857142857142642E-3</v>
      </c>
      <c r="M168" s="546"/>
      <c r="N168" s="565"/>
    </row>
    <row r="169" spans="1:14" s="152" customFormat="1" ht="50.5" x14ac:dyDescent="0.35">
      <c r="A169" s="510"/>
      <c r="B169" s="544"/>
      <c r="C169" s="446"/>
      <c r="D169" s="404"/>
      <c r="E169" s="560"/>
      <c r="F169" s="517"/>
      <c r="G169" s="519"/>
      <c r="H169" s="536"/>
      <c r="I169" s="538"/>
      <c r="J169" s="540"/>
      <c r="K169" s="52" t="s">
        <v>223</v>
      </c>
      <c r="L169" s="138">
        <f>L167*0.5</f>
        <v>2.8571428571428428E-3</v>
      </c>
      <c r="M169" s="546"/>
      <c r="N169" s="566"/>
    </row>
    <row r="170" spans="1:14" s="152" customFormat="1" ht="11.25" hidden="1" customHeight="1" x14ac:dyDescent="0.35">
      <c r="A170" s="510"/>
      <c r="B170" s="544"/>
      <c r="C170" s="446"/>
      <c r="D170" s="404"/>
      <c r="E170" s="560"/>
      <c r="F170" s="517"/>
      <c r="G170" s="519"/>
      <c r="H170" s="536"/>
      <c r="I170" s="538"/>
      <c r="J170" s="540"/>
      <c r="K170" s="52"/>
      <c r="L170" s="138">
        <f>L167*0.25</f>
        <v>1.4285714285714214E-3</v>
      </c>
      <c r="M170" s="546"/>
      <c r="N170" s="566"/>
    </row>
    <row r="171" spans="1:14" s="152" customFormat="1" ht="50.5" x14ac:dyDescent="0.35">
      <c r="A171" s="511"/>
      <c r="B171" s="545"/>
      <c r="C171" s="412"/>
      <c r="D171" s="404"/>
      <c r="E171" s="561"/>
      <c r="F171" s="518"/>
      <c r="G171" s="520"/>
      <c r="H171" s="536"/>
      <c r="I171" s="538"/>
      <c r="J171" s="540"/>
      <c r="K171" s="52" t="s">
        <v>224</v>
      </c>
      <c r="L171" s="138">
        <v>0</v>
      </c>
      <c r="M171" s="546"/>
      <c r="N171" s="565"/>
    </row>
    <row r="172" spans="1:14" s="152" customFormat="1" ht="11.25" customHeight="1" x14ac:dyDescent="0.35">
      <c r="A172" s="510" t="s">
        <v>285</v>
      </c>
      <c r="B172" s="544" t="s">
        <v>214</v>
      </c>
      <c r="C172" s="412" t="s">
        <v>286</v>
      </c>
      <c r="D172" s="438" t="s">
        <v>220</v>
      </c>
      <c r="E172" s="560"/>
      <c r="F172" s="517"/>
      <c r="G172" s="519"/>
      <c r="H172" s="536" t="s">
        <v>27</v>
      </c>
      <c r="I172" s="537">
        <f>IF(H172='Response Guidlines'!$D$81,'Response Guidlines'!$C$81, IF(H172='Response Guidlines'!$D$82,'Response Guidlines'!$C$82,IF(H172='Response Guidlines'!$D$83,'Response Guidlines'!$C$83,IF(H172='Response Guidlines'!$D$84,'Response Guidlines'!$C$84,IF(H172='Response Guidlines'!$D$85,'Response Guidlines'!$C$85,IF(H172='Response Guidlines'!$D$86,'Response Guidlines'!$C$86,IF(H172='Response Guidlines'!$D$87,'Response Guidlines'!$C$87,"No Rating")))))))</f>
        <v>4</v>
      </c>
      <c r="J172" s="539">
        <f>(I172/$I$192)/_xlfn.XLOOKUP('Scoring Summary'!$D$19,'Response Guidlines'!$D$92:$D$191,'Response Guidlines'!$C$92:$C$191,"",0,1)</f>
        <v>5.7142857142856857E-3</v>
      </c>
      <c r="K172" s="56" t="s">
        <v>222</v>
      </c>
      <c r="L172" s="136">
        <f>J172</f>
        <v>5.7142857142856857E-3</v>
      </c>
      <c r="M172" s="543"/>
      <c r="N172" s="567" t="s">
        <v>287</v>
      </c>
    </row>
    <row r="173" spans="1:14" s="152" customFormat="1" ht="11.25" hidden="1" customHeight="1" x14ac:dyDescent="0.35">
      <c r="A173" s="510"/>
      <c r="B173" s="544"/>
      <c r="C173" s="412"/>
      <c r="D173" s="404"/>
      <c r="E173" s="560"/>
      <c r="F173" s="517"/>
      <c r="G173" s="519"/>
      <c r="H173" s="536"/>
      <c r="I173" s="538"/>
      <c r="J173" s="540"/>
      <c r="K173" s="52"/>
      <c r="L173" s="138">
        <f>L172*0.75</f>
        <v>4.2857142857142642E-3</v>
      </c>
      <c r="M173" s="546"/>
      <c r="N173" s="567"/>
    </row>
    <row r="174" spans="1:14" s="152" customFormat="1" ht="50.5" x14ac:dyDescent="0.35">
      <c r="A174" s="510"/>
      <c r="B174" s="544"/>
      <c r="C174" s="446"/>
      <c r="D174" s="404"/>
      <c r="E174" s="560"/>
      <c r="F174" s="517"/>
      <c r="G174" s="519"/>
      <c r="H174" s="536"/>
      <c r="I174" s="538"/>
      <c r="J174" s="540"/>
      <c r="K174" s="52" t="s">
        <v>223</v>
      </c>
      <c r="L174" s="138">
        <f>L172*0.5</f>
        <v>2.8571428571428428E-3</v>
      </c>
      <c r="M174" s="546"/>
      <c r="N174" s="568"/>
    </row>
    <row r="175" spans="1:14" s="152" customFormat="1" ht="11.25" hidden="1" customHeight="1" x14ac:dyDescent="0.35">
      <c r="A175" s="510"/>
      <c r="B175" s="544"/>
      <c r="C175" s="446"/>
      <c r="D175" s="404"/>
      <c r="E175" s="560"/>
      <c r="F175" s="517"/>
      <c r="G175" s="519"/>
      <c r="H175" s="536"/>
      <c r="I175" s="538"/>
      <c r="J175" s="540"/>
      <c r="K175" s="52"/>
      <c r="L175" s="138">
        <f>L172*0.25</f>
        <v>1.4285714285714214E-3</v>
      </c>
      <c r="M175" s="546"/>
      <c r="N175" s="568"/>
    </row>
    <row r="176" spans="1:14" s="152" customFormat="1" ht="50.5" x14ac:dyDescent="0.35">
      <c r="A176" s="511"/>
      <c r="B176" s="545"/>
      <c r="C176" s="412"/>
      <c r="D176" s="404"/>
      <c r="E176" s="561"/>
      <c r="F176" s="518"/>
      <c r="G176" s="520"/>
      <c r="H176" s="536"/>
      <c r="I176" s="538"/>
      <c r="J176" s="540"/>
      <c r="K176" s="52" t="s">
        <v>224</v>
      </c>
      <c r="L176" s="138">
        <v>0</v>
      </c>
      <c r="M176" s="546"/>
      <c r="N176" s="567"/>
    </row>
    <row r="177" spans="1:14" s="152" customFormat="1" ht="11.25" customHeight="1" x14ac:dyDescent="0.35">
      <c r="A177" s="510" t="s">
        <v>288</v>
      </c>
      <c r="B177" s="544" t="s">
        <v>214</v>
      </c>
      <c r="C177" s="412" t="s">
        <v>289</v>
      </c>
      <c r="D177" s="438" t="s">
        <v>220</v>
      </c>
      <c r="E177" s="560"/>
      <c r="F177" s="517"/>
      <c r="G177" s="519"/>
      <c r="H177" s="536" t="s">
        <v>27</v>
      </c>
      <c r="I177" s="537">
        <f>IF(H177='Response Guidlines'!$D$81,'Response Guidlines'!$C$81, IF(H177='Response Guidlines'!$D$82,'Response Guidlines'!$C$82,IF(H177='Response Guidlines'!$D$83,'Response Guidlines'!$C$83,IF(H177='Response Guidlines'!$D$84,'Response Guidlines'!$C$84,IF(H177='Response Guidlines'!$D$85,'Response Guidlines'!$C$85,IF(H177='Response Guidlines'!$D$86,'Response Guidlines'!$C$86,IF(H177='Response Guidlines'!$D$87,'Response Guidlines'!$C$87,"No Rating")))))))</f>
        <v>4</v>
      </c>
      <c r="J177" s="539">
        <f>(I177/$I$192)/_xlfn.XLOOKUP('Scoring Summary'!$D$19,'Response Guidlines'!$D$92:$D$191,'Response Guidlines'!$C$92:$C$191,"",0,1)</f>
        <v>5.7142857142856857E-3</v>
      </c>
      <c r="K177" s="56" t="s">
        <v>222</v>
      </c>
      <c r="L177" s="136">
        <f>J177</f>
        <v>5.7142857142856857E-3</v>
      </c>
      <c r="M177" s="543"/>
      <c r="N177" s="565" t="s">
        <v>290</v>
      </c>
    </row>
    <row r="178" spans="1:14" s="152" customFormat="1" ht="11.25" hidden="1" customHeight="1" x14ac:dyDescent="0.35">
      <c r="A178" s="510"/>
      <c r="B178" s="544"/>
      <c r="C178" s="412"/>
      <c r="D178" s="404"/>
      <c r="E178" s="560"/>
      <c r="F178" s="517"/>
      <c r="G178" s="519"/>
      <c r="H178" s="536"/>
      <c r="I178" s="538"/>
      <c r="J178" s="540"/>
      <c r="K178" s="52"/>
      <c r="L178" s="138">
        <f>L177*0.75</f>
        <v>4.2857142857142642E-3</v>
      </c>
      <c r="M178" s="546"/>
      <c r="N178" s="565"/>
    </row>
    <row r="179" spans="1:14" s="152" customFormat="1" ht="50.5" x14ac:dyDescent="0.35">
      <c r="A179" s="510"/>
      <c r="B179" s="544"/>
      <c r="C179" s="446"/>
      <c r="D179" s="404"/>
      <c r="E179" s="560"/>
      <c r="F179" s="517"/>
      <c r="G179" s="519"/>
      <c r="H179" s="536"/>
      <c r="I179" s="538"/>
      <c r="J179" s="540"/>
      <c r="K179" s="52" t="s">
        <v>223</v>
      </c>
      <c r="L179" s="138">
        <f>L177*0.5</f>
        <v>2.8571428571428428E-3</v>
      </c>
      <c r="M179" s="546"/>
      <c r="N179" s="566"/>
    </row>
    <row r="180" spans="1:14" s="152" customFormat="1" ht="11.25" hidden="1" customHeight="1" x14ac:dyDescent="0.35">
      <c r="A180" s="510"/>
      <c r="B180" s="544"/>
      <c r="C180" s="446"/>
      <c r="D180" s="404"/>
      <c r="E180" s="560"/>
      <c r="F180" s="517"/>
      <c r="G180" s="519"/>
      <c r="H180" s="536"/>
      <c r="I180" s="538"/>
      <c r="J180" s="540"/>
      <c r="K180" s="52"/>
      <c r="L180" s="138">
        <f>L177*0.25</f>
        <v>1.4285714285714214E-3</v>
      </c>
      <c r="M180" s="546"/>
      <c r="N180" s="566"/>
    </row>
    <row r="181" spans="1:14" s="152" customFormat="1" ht="50.5" x14ac:dyDescent="0.35">
      <c r="A181" s="511"/>
      <c r="B181" s="545"/>
      <c r="C181" s="412"/>
      <c r="D181" s="404"/>
      <c r="E181" s="561"/>
      <c r="F181" s="518"/>
      <c r="G181" s="520"/>
      <c r="H181" s="536"/>
      <c r="I181" s="538"/>
      <c r="J181" s="540"/>
      <c r="K181" s="52" t="s">
        <v>224</v>
      </c>
      <c r="L181" s="138">
        <v>0</v>
      </c>
      <c r="M181" s="546"/>
      <c r="N181" s="565"/>
    </row>
    <row r="182" spans="1:14" s="152" customFormat="1" ht="11.25" customHeight="1" x14ac:dyDescent="0.35">
      <c r="A182" s="510" t="s">
        <v>291</v>
      </c>
      <c r="B182" s="544" t="s">
        <v>214</v>
      </c>
      <c r="C182" s="412" t="s">
        <v>292</v>
      </c>
      <c r="D182" s="438" t="s">
        <v>220</v>
      </c>
      <c r="E182" s="560"/>
      <c r="F182" s="517"/>
      <c r="G182" s="519"/>
      <c r="H182" s="536" t="s">
        <v>27</v>
      </c>
      <c r="I182" s="537">
        <f>IF(H182='Response Guidlines'!$D$81,'Response Guidlines'!$C$81, IF(H182='Response Guidlines'!$D$82,'Response Guidlines'!$C$82,IF(H182='Response Guidlines'!$D$83,'Response Guidlines'!$C$83,IF(H182='Response Guidlines'!$D$84,'Response Guidlines'!$C$84,IF(H182='Response Guidlines'!$D$85,'Response Guidlines'!$C$85,IF(H182='Response Guidlines'!$D$86,'Response Guidlines'!$C$86,IF(H182='Response Guidlines'!$D$87,'Response Guidlines'!$C$87,"No Rating")))))))</f>
        <v>4</v>
      </c>
      <c r="J182" s="539">
        <f>(I182/$I$192)/_xlfn.XLOOKUP('Scoring Summary'!$D$19,'Response Guidlines'!$D$92:$D$191,'Response Guidlines'!$C$92:$C$191,"",0,1)</f>
        <v>5.7142857142856857E-3</v>
      </c>
      <c r="K182" s="56" t="s">
        <v>222</v>
      </c>
      <c r="L182" s="136">
        <f>J182</f>
        <v>5.7142857142856857E-3</v>
      </c>
      <c r="M182" s="543"/>
      <c r="N182" s="565" t="s">
        <v>293</v>
      </c>
    </row>
    <row r="183" spans="1:14" s="152" customFormat="1" ht="11.25" hidden="1" customHeight="1" x14ac:dyDescent="0.35">
      <c r="A183" s="510"/>
      <c r="B183" s="544"/>
      <c r="C183" s="412"/>
      <c r="D183" s="404"/>
      <c r="E183" s="560"/>
      <c r="F183" s="517"/>
      <c r="G183" s="519"/>
      <c r="H183" s="536"/>
      <c r="I183" s="538"/>
      <c r="J183" s="540"/>
      <c r="K183" s="52"/>
      <c r="L183" s="138">
        <f>L182*0.75</f>
        <v>4.2857142857142642E-3</v>
      </c>
      <c r="M183" s="546"/>
      <c r="N183" s="565"/>
    </row>
    <row r="184" spans="1:14" s="152" customFormat="1" ht="50.5" x14ac:dyDescent="0.35">
      <c r="A184" s="510"/>
      <c r="B184" s="544"/>
      <c r="C184" s="446"/>
      <c r="D184" s="404"/>
      <c r="E184" s="560"/>
      <c r="F184" s="517"/>
      <c r="G184" s="519"/>
      <c r="H184" s="536"/>
      <c r="I184" s="538"/>
      <c r="J184" s="540"/>
      <c r="K184" s="52" t="s">
        <v>223</v>
      </c>
      <c r="L184" s="138">
        <f>L182*0.5</f>
        <v>2.8571428571428428E-3</v>
      </c>
      <c r="M184" s="546"/>
      <c r="N184" s="566"/>
    </row>
    <row r="185" spans="1:14" s="152" customFormat="1" ht="11.25" hidden="1" customHeight="1" x14ac:dyDescent="0.35">
      <c r="A185" s="510"/>
      <c r="B185" s="544"/>
      <c r="C185" s="446"/>
      <c r="D185" s="404"/>
      <c r="E185" s="560"/>
      <c r="F185" s="517"/>
      <c r="G185" s="519"/>
      <c r="H185" s="536"/>
      <c r="I185" s="538"/>
      <c r="J185" s="540"/>
      <c r="K185" s="52"/>
      <c r="L185" s="138">
        <f>L182*0.25</f>
        <v>1.4285714285714214E-3</v>
      </c>
      <c r="M185" s="546"/>
      <c r="N185" s="566"/>
    </row>
    <row r="186" spans="1:14" s="152" customFormat="1" ht="50.5" x14ac:dyDescent="0.35">
      <c r="A186" s="511"/>
      <c r="B186" s="545"/>
      <c r="C186" s="412"/>
      <c r="D186" s="404"/>
      <c r="E186" s="561"/>
      <c r="F186" s="518"/>
      <c r="G186" s="520"/>
      <c r="H186" s="536"/>
      <c r="I186" s="538"/>
      <c r="J186" s="540"/>
      <c r="K186" s="52" t="s">
        <v>224</v>
      </c>
      <c r="L186" s="138">
        <v>0</v>
      </c>
      <c r="M186" s="546"/>
      <c r="N186" s="565"/>
    </row>
    <row r="187" spans="1:14" s="152" customFormat="1" ht="11.25" customHeight="1" x14ac:dyDescent="0.35">
      <c r="A187" s="510" t="s">
        <v>294</v>
      </c>
      <c r="B187" s="544" t="s">
        <v>214</v>
      </c>
      <c r="C187" s="552" t="s">
        <v>295</v>
      </c>
      <c r="D187" s="438" t="s">
        <v>220</v>
      </c>
      <c r="E187" s="560"/>
      <c r="F187" s="517"/>
      <c r="G187" s="519"/>
      <c r="H187" s="536" t="s">
        <v>27</v>
      </c>
      <c r="I187" s="537">
        <f>IF(H187='Response Guidlines'!$D$81,'Response Guidlines'!$C$81, IF(H187='Response Guidlines'!$D$82,'Response Guidlines'!$C$82,IF(H187='Response Guidlines'!$D$83,'Response Guidlines'!$C$83,IF(H187='Response Guidlines'!$D$84,'Response Guidlines'!$C$84,IF(H187='Response Guidlines'!$D$85,'Response Guidlines'!$C$85,IF(H187='Response Guidlines'!$D$86,'Response Guidlines'!$C$86,IF(H187='Response Guidlines'!$D$87,'Response Guidlines'!$C$87,"No Rating")))))))</f>
        <v>4</v>
      </c>
      <c r="J187" s="539">
        <f>(I187/$I$192)/_xlfn.XLOOKUP('Scoring Summary'!$D$19,'Response Guidlines'!$D$92:$D$191,'Response Guidlines'!$C$92:$C$191,"",0,1)</f>
        <v>5.7142857142856857E-3</v>
      </c>
      <c r="K187" s="56" t="s">
        <v>222</v>
      </c>
      <c r="L187" s="136">
        <f>J187</f>
        <v>5.7142857142856857E-3</v>
      </c>
      <c r="M187" s="543"/>
      <c r="N187" s="565" t="s">
        <v>296</v>
      </c>
    </row>
    <row r="188" spans="1:14" s="152" customFormat="1" ht="11.25" hidden="1" customHeight="1" x14ac:dyDescent="0.35">
      <c r="A188" s="510"/>
      <c r="B188" s="544"/>
      <c r="C188" s="552"/>
      <c r="D188" s="404"/>
      <c r="E188" s="560"/>
      <c r="F188" s="517"/>
      <c r="G188" s="519"/>
      <c r="H188" s="536"/>
      <c r="I188" s="538"/>
      <c r="J188" s="540"/>
      <c r="K188" s="52"/>
      <c r="L188" s="138">
        <f>L187*0.75</f>
        <v>4.2857142857142642E-3</v>
      </c>
      <c r="M188" s="546"/>
      <c r="N188" s="565"/>
    </row>
    <row r="189" spans="1:14" s="152" customFormat="1" ht="50.5" x14ac:dyDescent="0.35">
      <c r="A189" s="510"/>
      <c r="B189" s="544"/>
      <c r="C189" s="553"/>
      <c r="D189" s="404"/>
      <c r="E189" s="560"/>
      <c r="F189" s="517"/>
      <c r="G189" s="519"/>
      <c r="H189" s="536"/>
      <c r="I189" s="538"/>
      <c r="J189" s="540"/>
      <c r="K189" s="52" t="s">
        <v>223</v>
      </c>
      <c r="L189" s="138">
        <f>L187*0.5</f>
        <v>2.8571428571428428E-3</v>
      </c>
      <c r="M189" s="546"/>
      <c r="N189" s="566"/>
    </row>
    <row r="190" spans="1:14" s="152" customFormat="1" ht="11.25" hidden="1" customHeight="1" thickBot="1" x14ac:dyDescent="0.4">
      <c r="A190" s="510"/>
      <c r="B190" s="544"/>
      <c r="C190" s="553"/>
      <c r="D190" s="404"/>
      <c r="E190" s="560"/>
      <c r="F190" s="517"/>
      <c r="G190" s="519"/>
      <c r="H190" s="536"/>
      <c r="I190" s="538"/>
      <c r="J190" s="540"/>
      <c r="K190" s="52"/>
      <c r="L190" s="138">
        <f>L187*0.25</f>
        <v>1.4285714285714214E-3</v>
      </c>
      <c r="M190" s="546"/>
      <c r="N190" s="566"/>
    </row>
    <row r="191" spans="1:14" s="152" customFormat="1" ht="51" thickBot="1" x14ac:dyDescent="0.4">
      <c r="A191" s="511"/>
      <c r="B191" s="545"/>
      <c r="C191" s="552"/>
      <c r="D191" s="404"/>
      <c r="E191" s="561"/>
      <c r="F191" s="518"/>
      <c r="G191" s="520"/>
      <c r="H191" s="536"/>
      <c r="I191" s="538"/>
      <c r="J191" s="540"/>
      <c r="K191" s="52" t="s">
        <v>224</v>
      </c>
      <c r="L191" s="138">
        <v>0</v>
      </c>
      <c r="M191" s="546"/>
      <c r="N191" s="565"/>
    </row>
    <row r="192" spans="1:14" s="152" customFormat="1" ht="16.149999999999999" customHeight="1" thickBot="1" x14ac:dyDescent="0.4">
      <c r="A192" s="144"/>
      <c r="B192" s="148"/>
      <c r="C192" s="82" t="s">
        <v>138</v>
      </c>
      <c r="D192" s="82"/>
      <c r="E192" s="82"/>
      <c r="F192" s="82"/>
      <c r="G192" s="82"/>
      <c r="H192" s="82"/>
      <c r="I192" s="145">
        <f>SUM(I17:I191)</f>
        <v>140</v>
      </c>
      <c r="J192" s="84">
        <f>SUM(J17:J191)</f>
        <v>0.19999999999999885</v>
      </c>
      <c r="K192" s="478" t="s">
        <v>139</v>
      </c>
      <c r="L192" s="479"/>
      <c r="M192" s="50">
        <f>SUM(M17:M191)</f>
        <v>0</v>
      </c>
      <c r="N192" s="191"/>
    </row>
    <row r="197" spans="3:3" x14ac:dyDescent="0.25">
      <c r="C197" s="18" t="s">
        <v>297</v>
      </c>
    </row>
    <row r="198" spans="3:3" x14ac:dyDescent="0.25">
      <c r="C198" s="18" t="s">
        <v>298</v>
      </c>
    </row>
    <row r="199" spans="3:3" x14ac:dyDescent="0.25">
      <c r="C199" s="18" t="s">
        <v>299</v>
      </c>
    </row>
  </sheetData>
  <autoFilter ref="A16:N192" xr:uid="{F414276A-FCF1-4F53-A083-351B022F6550}"/>
  <mergeCells count="425">
    <mergeCell ref="K192:L192"/>
    <mergeCell ref="G187:G191"/>
    <mergeCell ref="H187:H191"/>
    <mergeCell ref="I187:I191"/>
    <mergeCell ref="J187:J191"/>
    <mergeCell ref="M187:M191"/>
    <mergeCell ref="N187:N191"/>
    <mergeCell ref="A187:A191"/>
    <mergeCell ref="B187:B191"/>
    <mergeCell ref="C187:C191"/>
    <mergeCell ref="D187:D191"/>
    <mergeCell ref="E187:E191"/>
    <mergeCell ref="F187:F191"/>
    <mergeCell ref="G182:G186"/>
    <mergeCell ref="H182:H186"/>
    <mergeCell ref="I182:I186"/>
    <mergeCell ref="J182:J186"/>
    <mergeCell ref="M182:M186"/>
    <mergeCell ref="N182:N186"/>
    <mergeCell ref="A182:A186"/>
    <mergeCell ref="B182:B186"/>
    <mergeCell ref="C182:C186"/>
    <mergeCell ref="D182:D186"/>
    <mergeCell ref="E182:E186"/>
    <mergeCell ref="F182:F186"/>
    <mergeCell ref="G177:G181"/>
    <mergeCell ref="H177:H181"/>
    <mergeCell ref="I177:I181"/>
    <mergeCell ref="J177:J181"/>
    <mergeCell ref="M177:M181"/>
    <mergeCell ref="N177:N181"/>
    <mergeCell ref="A177:A181"/>
    <mergeCell ref="B177:B181"/>
    <mergeCell ref="C177:C181"/>
    <mergeCell ref="D177:D181"/>
    <mergeCell ref="E177:E181"/>
    <mergeCell ref="F177:F181"/>
    <mergeCell ref="G172:G176"/>
    <mergeCell ref="H172:H176"/>
    <mergeCell ref="I172:I176"/>
    <mergeCell ref="J172:J176"/>
    <mergeCell ref="M172:M176"/>
    <mergeCell ref="N172:N176"/>
    <mergeCell ref="A172:A176"/>
    <mergeCell ref="B172:B176"/>
    <mergeCell ref="C172:C176"/>
    <mergeCell ref="D172:D176"/>
    <mergeCell ref="E172:E176"/>
    <mergeCell ref="F172:F176"/>
    <mergeCell ref="G167:G171"/>
    <mergeCell ref="H167:H171"/>
    <mergeCell ref="I167:I171"/>
    <mergeCell ref="J167:J171"/>
    <mergeCell ref="M167:M171"/>
    <mergeCell ref="N167:N171"/>
    <mergeCell ref="A167:A171"/>
    <mergeCell ref="B167:B171"/>
    <mergeCell ref="C167:C171"/>
    <mergeCell ref="D167:D171"/>
    <mergeCell ref="E167:E171"/>
    <mergeCell ref="F167:F171"/>
    <mergeCell ref="G162:G166"/>
    <mergeCell ref="H162:H166"/>
    <mergeCell ref="I162:I166"/>
    <mergeCell ref="J162:J166"/>
    <mergeCell ref="M162:M166"/>
    <mergeCell ref="N162:N166"/>
    <mergeCell ref="A162:A166"/>
    <mergeCell ref="B162:B166"/>
    <mergeCell ref="C162:C166"/>
    <mergeCell ref="D162:D166"/>
    <mergeCell ref="E162:E166"/>
    <mergeCell ref="F162:F166"/>
    <mergeCell ref="G157:G161"/>
    <mergeCell ref="H157:H161"/>
    <mergeCell ref="I157:I161"/>
    <mergeCell ref="J157:J161"/>
    <mergeCell ref="M157:M161"/>
    <mergeCell ref="N157:N161"/>
    <mergeCell ref="A157:A161"/>
    <mergeCell ref="B157:B161"/>
    <mergeCell ref="C157:C161"/>
    <mergeCell ref="D157:D161"/>
    <mergeCell ref="E157:E161"/>
    <mergeCell ref="F157:F161"/>
    <mergeCell ref="G152:G156"/>
    <mergeCell ref="H152:H156"/>
    <mergeCell ref="I152:I156"/>
    <mergeCell ref="J152:J156"/>
    <mergeCell ref="M152:M156"/>
    <mergeCell ref="N152:N156"/>
    <mergeCell ref="A152:A156"/>
    <mergeCell ref="B152:B156"/>
    <mergeCell ref="C152:C156"/>
    <mergeCell ref="D152:D156"/>
    <mergeCell ref="E152:E156"/>
    <mergeCell ref="F152:F156"/>
    <mergeCell ref="G147:G151"/>
    <mergeCell ref="H147:H151"/>
    <mergeCell ref="I147:I151"/>
    <mergeCell ref="J147:J151"/>
    <mergeCell ref="M147:M151"/>
    <mergeCell ref="N147:N151"/>
    <mergeCell ref="A147:A151"/>
    <mergeCell ref="B147:B151"/>
    <mergeCell ref="C147:C151"/>
    <mergeCell ref="D147:D151"/>
    <mergeCell ref="E147:E151"/>
    <mergeCell ref="F147:F151"/>
    <mergeCell ref="G142:G146"/>
    <mergeCell ref="H142:H146"/>
    <mergeCell ref="I142:I146"/>
    <mergeCell ref="J142:J146"/>
    <mergeCell ref="M142:M146"/>
    <mergeCell ref="N142:N146"/>
    <mergeCell ref="A142:A146"/>
    <mergeCell ref="B142:B146"/>
    <mergeCell ref="C142:C146"/>
    <mergeCell ref="D142:D146"/>
    <mergeCell ref="E142:E146"/>
    <mergeCell ref="F142:F146"/>
    <mergeCell ref="G137:G141"/>
    <mergeCell ref="H137:H141"/>
    <mergeCell ref="I137:I141"/>
    <mergeCell ref="J137:J141"/>
    <mergeCell ref="M137:M141"/>
    <mergeCell ref="N137:N141"/>
    <mergeCell ref="A137:A141"/>
    <mergeCell ref="B137:B141"/>
    <mergeCell ref="C137:C141"/>
    <mergeCell ref="D137:D141"/>
    <mergeCell ref="E137:E141"/>
    <mergeCell ref="F137:F141"/>
    <mergeCell ref="G132:G136"/>
    <mergeCell ref="H132:H136"/>
    <mergeCell ref="I132:I136"/>
    <mergeCell ref="J132:J136"/>
    <mergeCell ref="M132:M136"/>
    <mergeCell ref="N132:N136"/>
    <mergeCell ref="A132:A136"/>
    <mergeCell ref="B132:B136"/>
    <mergeCell ref="C132:C136"/>
    <mergeCell ref="D132:D136"/>
    <mergeCell ref="E132:E136"/>
    <mergeCell ref="F132:F136"/>
    <mergeCell ref="G127:G131"/>
    <mergeCell ref="H127:H131"/>
    <mergeCell ref="I127:I131"/>
    <mergeCell ref="J127:J131"/>
    <mergeCell ref="M127:M131"/>
    <mergeCell ref="N127:N131"/>
    <mergeCell ref="A127:A131"/>
    <mergeCell ref="B127:B131"/>
    <mergeCell ref="C127:C131"/>
    <mergeCell ref="D127:D131"/>
    <mergeCell ref="E127:E131"/>
    <mergeCell ref="F127:F131"/>
    <mergeCell ref="G122:G126"/>
    <mergeCell ref="H122:H126"/>
    <mergeCell ref="I122:I126"/>
    <mergeCell ref="J122:J126"/>
    <mergeCell ref="M122:M126"/>
    <mergeCell ref="N122:N126"/>
    <mergeCell ref="A122:A126"/>
    <mergeCell ref="B122:B126"/>
    <mergeCell ref="C122:C126"/>
    <mergeCell ref="D122:D126"/>
    <mergeCell ref="E122:E126"/>
    <mergeCell ref="F122:F126"/>
    <mergeCell ref="G117:G121"/>
    <mergeCell ref="H117:H121"/>
    <mergeCell ref="I117:I121"/>
    <mergeCell ref="J117:J121"/>
    <mergeCell ref="M117:M121"/>
    <mergeCell ref="N117:N121"/>
    <mergeCell ref="A117:A121"/>
    <mergeCell ref="B117:B121"/>
    <mergeCell ref="C117:C121"/>
    <mergeCell ref="D117:D121"/>
    <mergeCell ref="E117:E121"/>
    <mergeCell ref="F117:F121"/>
    <mergeCell ref="G112:G116"/>
    <mergeCell ref="H112:H116"/>
    <mergeCell ref="I112:I116"/>
    <mergeCell ref="J112:J116"/>
    <mergeCell ref="M112:M116"/>
    <mergeCell ref="N112:N116"/>
    <mergeCell ref="A112:A116"/>
    <mergeCell ref="B112:B116"/>
    <mergeCell ref="C112:C116"/>
    <mergeCell ref="D112:D116"/>
    <mergeCell ref="E112:E116"/>
    <mergeCell ref="F112:F116"/>
    <mergeCell ref="G107:G111"/>
    <mergeCell ref="H107:H111"/>
    <mergeCell ref="I107:I111"/>
    <mergeCell ref="J107:J111"/>
    <mergeCell ref="M107:M111"/>
    <mergeCell ref="N107:N111"/>
    <mergeCell ref="A107:A111"/>
    <mergeCell ref="B107:B111"/>
    <mergeCell ref="C107:C111"/>
    <mergeCell ref="D107:D111"/>
    <mergeCell ref="E107:E111"/>
    <mergeCell ref="F107:F111"/>
    <mergeCell ref="G102:G106"/>
    <mergeCell ref="H102:H106"/>
    <mergeCell ref="I102:I106"/>
    <mergeCell ref="J102:J106"/>
    <mergeCell ref="M102:M106"/>
    <mergeCell ref="N102:N106"/>
    <mergeCell ref="A102:A106"/>
    <mergeCell ref="B102:B106"/>
    <mergeCell ref="C102:C106"/>
    <mergeCell ref="D102:D106"/>
    <mergeCell ref="E102:E106"/>
    <mergeCell ref="F102:F106"/>
    <mergeCell ref="G97:G101"/>
    <mergeCell ref="H97:H101"/>
    <mergeCell ref="I97:I101"/>
    <mergeCell ref="J97:J101"/>
    <mergeCell ref="M97:M101"/>
    <mergeCell ref="N97:N101"/>
    <mergeCell ref="A97:A101"/>
    <mergeCell ref="B97:B101"/>
    <mergeCell ref="C97:C101"/>
    <mergeCell ref="D97:D101"/>
    <mergeCell ref="E97:E101"/>
    <mergeCell ref="F97:F101"/>
    <mergeCell ref="G92:G96"/>
    <mergeCell ref="H92:H96"/>
    <mergeCell ref="I92:I96"/>
    <mergeCell ref="J92:J96"/>
    <mergeCell ref="M92:M96"/>
    <mergeCell ref="N92:N96"/>
    <mergeCell ref="A92:A96"/>
    <mergeCell ref="B92:B96"/>
    <mergeCell ref="C92:C96"/>
    <mergeCell ref="D92:D96"/>
    <mergeCell ref="E92:E96"/>
    <mergeCell ref="F92:F96"/>
    <mergeCell ref="G87:G91"/>
    <mergeCell ref="H87:H91"/>
    <mergeCell ref="I87:I91"/>
    <mergeCell ref="J87:J91"/>
    <mergeCell ref="M87:M91"/>
    <mergeCell ref="N87:N91"/>
    <mergeCell ref="A87:A91"/>
    <mergeCell ref="B87:B91"/>
    <mergeCell ref="C87:C91"/>
    <mergeCell ref="D87:D91"/>
    <mergeCell ref="E87:E91"/>
    <mergeCell ref="F87:F91"/>
    <mergeCell ref="G82:G86"/>
    <mergeCell ref="H82:H86"/>
    <mergeCell ref="I82:I86"/>
    <mergeCell ref="J82:J86"/>
    <mergeCell ref="M82:M86"/>
    <mergeCell ref="N82:N86"/>
    <mergeCell ref="A82:A86"/>
    <mergeCell ref="B82:B86"/>
    <mergeCell ref="C82:C86"/>
    <mergeCell ref="D82:D86"/>
    <mergeCell ref="E82:E86"/>
    <mergeCell ref="F82:F86"/>
    <mergeCell ref="G77:G81"/>
    <mergeCell ref="H77:H81"/>
    <mergeCell ref="I77:I81"/>
    <mergeCell ref="J77:J81"/>
    <mergeCell ref="M77:M81"/>
    <mergeCell ref="N77:N81"/>
    <mergeCell ref="A77:A81"/>
    <mergeCell ref="B77:B81"/>
    <mergeCell ref="C77:C81"/>
    <mergeCell ref="D77:D81"/>
    <mergeCell ref="E77:E81"/>
    <mergeCell ref="F77:F81"/>
    <mergeCell ref="G72:G76"/>
    <mergeCell ref="H72:H76"/>
    <mergeCell ref="I72:I76"/>
    <mergeCell ref="J72:J76"/>
    <mergeCell ref="M72:M76"/>
    <mergeCell ref="N72:N76"/>
    <mergeCell ref="A72:A76"/>
    <mergeCell ref="B72:B76"/>
    <mergeCell ref="C72:C76"/>
    <mergeCell ref="D72:D76"/>
    <mergeCell ref="E72:E76"/>
    <mergeCell ref="F72:F76"/>
    <mergeCell ref="G67:G71"/>
    <mergeCell ref="H67:H71"/>
    <mergeCell ref="I67:I71"/>
    <mergeCell ref="J67:J71"/>
    <mergeCell ref="M67:M71"/>
    <mergeCell ref="N67:N71"/>
    <mergeCell ref="A67:A71"/>
    <mergeCell ref="B67:B71"/>
    <mergeCell ref="C67:C71"/>
    <mergeCell ref="D67:D71"/>
    <mergeCell ref="E67:E71"/>
    <mergeCell ref="F67:F71"/>
    <mergeCell ref="G62:G66"/>
    <mergeCell ref="H62:H66"/>
    <mergeCell ref="I62:I66"/>
    <mergeCell ref="J62:J66"/>
    <mergeCell ref="M62:M66"/>
    <mergeCell ref="N62:N66"/>
    <mergeCell ref="A62:A66"/>
    <mergeCell ref="B62:B66"/>
    <mergeCell ref="C62:C66"/>
    <mergeCell ref="D62:D66"/>
    <mergeCell ref="E62:E66"/>
    <mergeCell ref="F62:F66"/>
    <mergeCell ref="G57:G61"/>
    <mergeCell ref="H57:H61"/>
    <mergeCell ref="I57:I61"/>
    <mergeCell ref="J57:J61"/>
    <mergeCell ref="M57:M61"/>
    <mergeCell ref="N57:N61"/>
    <mergeCell ref="A57:A61"/>
    <mergeCell ref="B57:B61"/>
    <mergeCell ref="C57:C61"/>
    <mergeCell ref="D57:D61"/>
    <mergeCell ref="E57:E61"/>
    <mergeCell ref="F57:F61"/>
    <mergeCell ref="G52:G56"/>
    <mergeCell ref="H52:H56"/>
    <mergeCell ref="I52:I56"/>
    <mergeCell ref="J52:J56"/>
    <mergeCell ref="M52:M56"/>
    <mergeCell ref="N52:N56"/>
    <mergeCell ref="A52:A56"/>
    <mergeCell ref="B52:B56"/>
    <mergeCell ref="C52:C56"/>
    <mergeCell ref="D52:D56"/>
    <mergeCell ref="E52:E56"/>
    <mergeCell ref="F52:F56"/>
    <mergeCell ref="G47:G51"/>
    <mergeCell ref="H47:H51"/>
    <mergeCell ref="I47:I51"/>
    <mergeCell ref="J47:J51"/>
    <mergeCell ref="M47:M51"/>
    <mergeCell ref="N47:N51"/>
    <mergeCell ref="A47:A51"/>
    <mergeCell ref="B47:B51"/>
    <mergeCell ref="C47:C51"/>
    <mergeCell ref="D47:D51"/>
    <mergeCell ref="E47:E51"/>
    <mergeCell ref="F47:F51"/>
    <mergeCell ref="G42:G46"/>
    <mergeCell ref="H42:H46"/>
    <mergeCell ref="I42:I46"/>
    <mergeCell ref="J42:J46"/>
    <mergeCell ref="M42:M46"/>
    <mergeCell ref="N42:N46"/>
    <mergeCell ref="A42:A46"/>
    <mergeCell ref="B42:B46"/>
    <mergeCell ref="C42:C46"/>
    <mergeCell ref="D42:D46"/>
    <mergeCell ref="E42:E46"/>
    <mergeCell ref="F42:F46"/>
    <mergeCell ref="G37:G41"/>
    <mergeCell ref="H37:H41"/>
    <mergeCell ref="I37:I41"/>
    <mergeCell ref="J37:J41"/>
    <mergeCell ref="M37:M41"/>
    <mergeCell ref="N37:N41"/>
    <mergeCell ref="A37:A41"/>
    <mergeCell ref="B37:B41"/>
    <mergeCell ref="C37:C41"/>
    <mergeCell ref="D37:D41"/>
    <mergeCell ref="E37:E41"/>
    <mergeCell ref="F37:F41"/>
    <mergeCell ref="G32:G36"/>
    <mergeCell ref="H32:H36"/>
    <mergeCell ref="I32:I36"/>
    <mergeCell ref="J32:J36"/>
    <mergeCell ref="M32:M36"/>
    <mergeCell ref="N32:N36"/>
    <mergeCell ref="A32:A36"/>
    <mergeCell ref="B32:B36"/>
    <mergeCell ref="C32:C36"/>
    <mergeCell ref="D32:D36"/>
    <mergeCell ref="E32:E36"/>
    <mergeCell ref="F32:F36"/>
    <mergeCell ref="G27:G31"/>
    <mergeCell ref="H27:H31"/>
    <mergeCell ref="I27:I31"/>
    <mergeCell ref="J27:J31"/>
    <mergeCell ref="M27:M31"/>
    <mergeCell ref="N27:N31"/>
    <mergeCell ref="A27:A31"/>
    <mergeCell ref="B27:B31"/>
    <mergeCell ref="C27:C31"/>
    <mergeCell ref="D27:D31"/>
    <mergeCell ref="E27:E31"/>
    <mergeCell ref="F27:F31"/>
    <mergeCell ref="G22:G26"/>
    <mergeCell ref="H22:H26"/>
    <mergeCell ref="I22:I26"/>
    <mergeCell ref="J22:J26"/>
    <mergeCell ref="M22:M26"/>
    <mergeCell ref="N22:N26"/>
    <mergeCell ref="A22:A26"/>
    <mergeCell ref="B22:B26"/>
    <mergeCell ref="C22:C26"/>
    <mergeCell ref="D22:D26"/>
    <mergeCell ref="E22:E26"/>
    <mergeCell ref="F22:F26"/>
    <mergeCell ref="G17:G21"/>
    <mergeCell ref="H17:H21"/>
    <mergeCell ref="I17:I21"/>
    <mergeCell ref="J17:J21"/>
    <mergeCell ref="M17:M21"/>
    <mergeCell ref="N17:N21"/>
    <mergeCell ref="F2:H2"/>
    <mergeCell ref="A15:A16"/>
    <mergeCell ref="B15:D15"/>
    <mergeCell ref="E15:G15"/>
    <mergeCell ref="A17:A21"/>
    <mergeCell ref="B17:B21"/>
    <mergeCell ref="C17:C21"/>
    <mergeCell ref="D17:D21"/>
    <mergeCell ref="E17:E21"/>
    <mergeCell ref="F17:F21"/>
  </mergeCells>
  <dataValidations count="14">
    <dataValidation type="list" allowBlank="1" showInputMessage="1" showErrorMessage="1" sqref="E17:E86" xr:uid="{CF1F7B4C-3EBB-40CE-B19A-1BB8CC532C49}">
      <formula1>$K$17:$K$21</formula1>
    </dataValidation>
    <dataValidation type="list" allowBlank="1" showInputMessage="1" showErrorMessage="1" sqref="E87:E91" xr:uid="{5416C9B2-B560-45C0-981F-1B5ED9E5E6CD}">
      <formula1>$K$87:$K$91</formula1>
    </dataValidation>
    <dataValidation type="list" allowBlank="1" showInputMessage="1" showErrorMessage="1" sqref="E92:E96" xr:uid="{43058F92-583C-4D37-876A-DE9ADF2E862B}">
      <formula1>$K$92:$K$96</formula1>
    </dataValidation>
    <dataValidation type="list" allowBlank="1" showInputMessage="1" showErrorMessage="1" sqref="E97:E101" xr:uid="{4182FD73-CD83-4759-8FBB-59CCBEBEA522}">
      <formula1>$K$97:$K$101</formula1>
    </dataValidation>
    <dataValidation type="list" allowBlank="1" showInputMessage="1" showErrorMessage="1" sqref="E102:E106" xr:uid="{8E26E885-B0C7-4341-9A2D-8E3006A3774F}">
      <formula1>$K$102:$K$106</formula1>
    </dataValidation>
    <dataValidation type="list" allowBlank="1" showInputMessage="1" showErrorMessage="1" sqref="E107:E111" xr:uid="{ED87D595-FEC8-49D0-B859-D0B4F520EBD3}">
      <formula1>$K$107:$K$111</formula1>
    </dataValidation>
    <dataValidation type="list" allowBlank="1" showInputMessage="1" showErrorMessage="1" sqref="E112:E116" xr:uid="{989F3D21-2148-468F-A031-016C60964B2D}">
      <formula1>$K$112:$K$116</formula1>
    </dataValidation>
    <dataValidation type="list" allowBlank="1" showInputMessage="1" showErrorMessage="1" sqref="E117:E121" xr:uid="{D9112DAA-2823-4BC0-93D1-97DBD61356A7}">
      <formula1>$K$117:$K$121</formula1>
    </dataValidation>
    <dataValidation type="list" allowBlank="1" showInputMessage="1" showErrorMessage="1" sqref="E122:E126" xr:uid="{BAC75038-2979-416D-A832-82EC0821CB5B}">
      <formula1>$K$122:$K$126</formula1>
    </dataValidation>
    <dataValidation type="list" allowBlank="1" showInputMessage="1" showErrorMessage="1" sqref="E127:E131" xr:uid="{5CA83F28-87AD-4D75-83BF-E632FB3904E0}">
      <formula1>$K$127:$K$131</formula1>
    </dataValidation>
    <dataValidation type="list" allowBlank="1" showInputMessage="1" showErrorMessage="1" sqref="E132:E141" xr:uid="{10DFA2F8-3BA0-451F-9433-0D473A5B816A}">
      <formula1>$K$132:$K$136</formula1>
    </dataValidation>
    <dataValidation type="list" allowBlank="1" showInputMessage="1" showErrorMessage="1" sqref="E157:E161" xr:uid="{1D8B2FFA-53D8-48A0-98C6-86D461209ADD}">
      <formula1>$K$157:$K$161</formula1>
    </dataValidation>
    <dataValidation type="list" allowBlank="1" showInputMessage="1" showErrorMessage="1" sqref="E142:E146 E162:E166" xr:uid="{FED674B7-E798-4479-9ACA-EB63697FA3CF}">
      <formula1>$K$162:$K$166</formula1>
    </dataValidation>
    <dataValidation type="list" allowBlank="1" showInputMessage="1" showErrorMessage="1" sqref="E147:E156 E167:E191" xr:uid="{635265E0-297F-4B01-B588-8F4D49173832}">
      <formula1>$K$187:$K$191</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D596DE0-F023-4B1C-84BE-E9A71FBF809E}">
          <x14:formula1>
            <xm:f>'Response Guidlines'!$D$81:$D$87</xm:f>
          </x14:formula1>
          <xm:sqref>H17:H191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3E564-3813-4335-B2CE-40AEBBA2F51D}">
  <sheetPr>
    <tabColor rgb="FF003896"/>
    <pageSetUpPr fitToPage="1"/>
  </sheetPr>
  <dimension ref="A1:P58"/>
  <sheetViews>
    <sheetView zoomScaleNormal="100" workbookViewId="0">
      <selection activeCell="C12" sqref="C12:C15"/>
    </sheetView>
  </sheetViews>
  <sheetFormatPr defaultColWidth="9.26953125" defaultRowHeight="10.5" x14ac:dyDescent="0.25"/>
  <cols>
    <col min="1" max="1" width="7.26953125" style="19" customWidth="1"/>
    <col min="2" max="2" width="11.7265625" style="178" customWidth="1"/>
    <col min="3" max="3" width="54" style="18" customWidth="1"/>
    <col min="4" max="4" width="40.7265625" style="18" bestFit="1" customWidth="1"/>
    <col min="5" max="5" width="3.7265625" style="18" bestFit="1" customWidth="1"/>
    <col min="6" max="6" width="9.26953125" style="18" bestFit="1" customWidth="1"/>
    <col min="7" max="7" width="29.26953125" style="18" customWidth="1"/>
    <col min="8" max="8" width="26.26953125" style="18" customWidth="1"/>
    <col min="9" max="9" width="11.7265625" style="18" bestFit="1" customWidth="1"/>
    <col min="10" max="10" width="8.7265625" style="18" bestFit="1" customWidth="1"/>
    <col min="11" max="11" width="13.7265625" style="17" bestFit="1" customWidth="1"/>
    <col min="12" max="12" width="10.453125" style="16" customWidth="1"/>
    <col min="13" max="13" width="13.453125" style="15" customWidth="1"/>
    <col min="14" max="14" width="7" style="15" customWidth="1"/>
    <col min="15" max="15" width="7" style="13" customWidth="1"/>
    <col min="16" max="16" width="29.26953125" style="14" customWidth="1"/>
    <col min="17" max="17" width="8.54296875" style="13" customWidth="1"/>
    <col min="18" max="16384" width="9.26953125" style="13"/>
  </cols>
  <sheetData>
    <row r="1" spans="1:16" x14ac:dyDescent="0.25">
      <c r="C1" s="76"/>
      <c r="D1" s="76"/>
      <c r="E1" s="76"/>
      <c r="F1" s="76"/>
      <c r="G1" s="76"/>
      <c r="H1" s="76"/>
      <c r="I1" s="76"/>
      <c r="J1" s="76"/>
    </row>
    <row r="2" spans="1:16" ht="14.65" customHeight="1" x14ac:dyDescent="0.35">
      <c r="C2" s="11" t="s">
        <v>51</v>
      </c>
      <c r="D2" s="12" t="str">
        <f>'Scoring Summary'!C2</f>
        <v>&lt;insert before tender publication&gt;</v>
      </c>
      <c r="E2" s="46"/>
      <c r="F2" s="46"/>
      <c r="G2" s="390" t="s">
        <v>140</v>
      </c>
      <c r="H2" s="390"/>
      <c r="I2" s="390"/>
      <c r="J2" s="75"/>
      <c r="K2" s="75"/>
      <c r="L2" s="46"/>
      <c r="M2" s="46"/>
      <c r="N2" s="46"/>
      <c r="O2" s="46"/>
      <c r="P2" s="46"/>
    </row>
    <row r="3" spans="1:16" ht="25.9" customHeight="1" x14ac:dyDescent="0.35">
      <c r="C3" s="11" t="s">
        <v>54</v>
      </c>
      <c r="D3" s="116" t="str">
        <f>'Scoring Summary'!C3</f>
        <v>IT00641 Dx Commercial Energy Trader (Dx CET)</v>
      </c>
      <c r="E3" s="46"/>
      <c r="F3" s="46"/>
      <c r="G3" s="83" t="s">
        <v>141</v>
      </c>
      <c r="H3" s="146" t="s">
        <v>300</v>
      </c>
      <c r="I3" s="75"/>
      <c r="J3" s="46"/>
      <c r="K3" s="46"/>
      <c r="L3" s="46"/>
      <c r="M3" s="46"/>
      <c r="N3" s="46"/>
      <c r="O3" s="46"/>
      <c r="P3" s="46"/>
    </row>
    <row r="4" spans="1:16" ht="14.65" customHeight="1" x14ac:dyDescent="0.35">
      <c r="C4" s="11" t="s">
        <v>55</v>
      </c>
      <c r="D4" s="346">
        <f>'Scoring Summary'!C4</f>
        <v>0.7</v>
      </c>
      <c r="E4" s="46"/>
      <c r="F4" s="46"/>
      <c r="G4" s="75"/>
      <c r="H4" s="75"/>
      <c r="I4" s="75"/>
      <c r="J4" s="46"/>
      <c r="K4" s="46"/>
      <c r="L4" s="46"/>
      <c r="M4" s="46"/>
      <c r="N4" s="46"/>
      <c r="O4" s="46"/>
      <c r="P4" s="46"/>
    </row>
    <row r="5" spans="1:16" ht="14.65" customHeight="1" x14ac:dyDescent="0.35">
      <c r="C5" s="11" t="s">
        <v>84</v>
      </c>
      <c r="D5" s="10" t="str">
        <f>'Scoring Summary'!C5</f>
        <v>&lt;Evaluator to complete&gt;</v>
      </c>
      <c r="E5" s="46"/>
      <c r="F5" s="46"/>
      <c r="G5" s="75"/>
      <c r="H5" s="75"/>
      <c r="I5" s="75"/>
      <c r="J5" s="46"/>
      <c r="K5" s="46"/>
      <c r="L5" s="46"/>
      <c r="M5" s="46"/>
      <c r="N5" s="46"/>
      <c r="O5" s="46"/>
      <c r="P5" s="46"/>
    </row>
    <row r="6" spans="1:16" ht="14.65" customHeight="1" x14ac:dyDescent="0.35">
      <c r="C6" s="11" t="s">
        <v>58</v>
      </c>
      <c r="D6" s="10" t="str">
        <f>'Scoring Summary'!C6</f>
        <v>&lt;Evaluator to complete&gt;</v>
      </c>
      <c r="E6" s="46"/>
      <c r="F6" s="46"/>
      <c r="G6" s="46"/>
      <c r="H6" s="46"/>
      <c r="I6" s="46"/>
      <c r="J6" s="46"/>
      <c r="K6" s="46"/>
      <c r="L6" s="46"/>
      <c r="M6" s="46"/>
      <c r="N6" s="46"/>
      <c r="O6" s="46"/>
      <c r="P6" s="46"/>
    </row>
    <row r="7" spans="1:16" ht="14.65" customHeight="1" x14ac:dyDescent="0.35">
      <c r="C7" s="11" t="s">
        <v>59</v>
      </c>
      <c r="D7" s="10" t="str">
        <f>'Scoring Summary'!C7</f>
        <v>&lt;Evaluator to complete&gt;</v>
      </c>
      <c r="E7" s="46"/>
      <c r="F7" s="46"/>
      <c r="G7" s="46"/>
      <c r="H7" s="46"/>
      <c r="I7" s="46"/>
      <c r="J7" s="46"/>
      <c r="K7" s="46"/>
      <c r="L7" s="46"/>
      <c r="M7" s="46"/>
      <c r="N7" s="46"/>
      <c r="O7" s="46"/>
      <c r="P7" s="46"/>
    </row>
    <row r="8" spans="1:16" ht="15.75" customHeight="1" x14ac:dyDescent="0.3">
      <c r="C8" s="11" t="s">
        <v>60</v>
      </c>
      <c r="D8" s="10"/>
      <c r="E8" s="466" t="s">
        <v>1280</v>
      </c>
      <c r="F8" s="467"/>
      <c r="G8" s="467"/>
      <c r="H8" s="468"/>
      <c r="I8" s="318"/>
      <c r="J8" s="318"/>
      <c r="K8" s="318"/>
      <c r="L8" s="318"/>
      <c r="M8" s="318"/>
      <c r="N8" s="318"/>
      <c r="O8" s="318"/>
      <c r="P8" s="318"/>
    </row>
    <row r="9" spans="1:16" ht="16.5" customHeight="1" thickBot="1" x14ac:dyDescent="0.35">
      <c r="C9" s="30"/>
      <c r="D9" s="30"/>
      <c r="E9" s="469"/>
      <c r="F9" s="470"/>
      <c r="G9" s="470"/>
      <c r="H9" s="471"/>
      <c r="I9" s="319"/>
      <c r="J9" s="320"/>
      <c r="K9" s="591" t="s">
        <v>1281</v>
      </c>
      <c r="L9" s="592"/>
      <c r="M9" s="592"/>
      <c r="N9" s="592"/>
      <c r="O9" s="592"/>
      <c r="P9" s="593"/>
    </row>
    <row r="10" spans="1:16" ht="14.65" customHeight="1" x14ac:dyDescent="0.2">
      <c r="A10" s="447" t="s">
        <v>85</v>
      </c>
      <c r="B10" s="527" t="s">
        <v>86</v>
      </c>
      <c r="C10" s="503"/>
      <c r="D10" s="528"/>
      <c r="E10" s="584" t="s">
        <v>87</v>
      </c>
      <c r="F10" s="585"/>
      <c r="G10" s="585"/>
      <c r="H10" s="586"/>
      <c r="I10" s="74"/>
      <c r="J10" s="74"/>
      <c r="K10" s="317" t="s">
        <v>88</v>
      </c>
      <c r="L10" s="313"/>
      <c r="M10" s="313"/>
      <c r="N10" s="313"/>
      <c r="O10" s="313"/>
      <c r="P10" s="314"/>
    </row>
    <row r="11" spans="1:16" s="49" customFormat="1" ht="71.25" customHeight="1" thickBot="1" x14ac:dyDescent="0.4">
      <c r="A11" s="501"/>
      <c r="B11" s="149" t="s">
        <v>168</v>
      </c>
      <c r="C11" s="70" t="s">
        <v>89</v>
      </c>
      <c r="D11" s="147" t="s">
        <v>62</v>
      </c>
      <c r="E11" s="589" t="s">
        <v>301</v>
      </c>
      <c r="F11" s="590"/>
      <c r="G11" s="67" t="s">
        <v>64</v>
      </c>
      <c r="H11" s="66" t="s">
        <v>91</v>
      </c>
      <c r="I11" s="150" t="s">
        <v>92</v>
      </c>
      <c r="J11" s="64" t="s">
        <v>93</v>
      </c>
      <c r="K11" s="63" t="s">
        <v>94</v>
      </c>
      <c r="L11" s="62" t="s">
        <v>302</v>
      </c>
      <c r="M11" s="594" t="s">
        <v>303</v>
      </c>
      <c r="N11" s="595"/>
      <c r="O11" s="60" t="s">
        <v>67</v>
      </c>
      <c r="P11" s="59" t="s">
        <v>68</v>
      </c>
    </row>
    <row r="12" spans="1:16" s="49" customFormat="1" ht="22.5" customHeight="1" x14ac:dyDescent="0.35">
      <c r="A12" s="460" t="s">
        <v>304</v>
      </c>
      <c r="B12" s="588" t="s">
        <v>305</v>
      </c>
      <c r="C12" s="458" t="s">
        <v>306</v>
      </c>
      <c r="D12" s="587" t="s">
        <v>307</v>
      </c>
      <c r="E12" s="180" t="str">
        <f>L12</f>
        <v>BF1</v>
      </c>
      <c r="F12" s="185" t="s">
        <v>36</v>
      </c>
      <c r="G12" s="187" t="s">
        <v>308</v>
      </c>
      <c r="H12" s="177"/>
      <c r="I12" s="496" t="s">
        <v>27</v>
      </c>
      <c r="J12" s="464">
        <f>IF(I12='Response Guidlines'!$D$81,'Response Guidlines'!$C$81, IF(I12='Response Guidlines'!$D$82,'Response Guidlines'!$C$82,IF(I12='Response Guidlines'!$D$83,'Response Guidlines'!$C$83,IF(I12='Response Guidlines'!$D$84,'Response Guidlines'!$C$84,IF(I12='Response Guidlines'!$D$85,'Response Guidlines'!$C$85,IF(I12='Response Guidlines'!$D$86,'Response Guidlines'!$C$86,IF(I12='Response Guidlines'!$D$87,'Response Guidlines'!$C$87,"No Rating")))))))</f>
        <v>4</v>
      </c>
      <c r="K12" s="596">
        <f>IFERROR((J12/$J$58)/_xlfn.XLOOKUP('Scoring Summary'!$D$20,'Response Guidlines'!$D$92:$D$191,'Response Guidlines'!$C$92:$C$191,"",0,1),0)</f>
        <v>2.2222222222222112E-2</v>
      </c>
      <c r="L12" s="56" t="s">
        <v>309</v>
      </c>
      <c r="M12" s="270" t="s">
        <v>36</v>
      </c>
      <c r="N12" s="269">
        <f>IF(M12="1. Std / config", $K$12/COUNTA($L$12:$L$15), IF(M12="2. Cust / Dev1", $K$12/COUNTA($L$12:$L$15)/2, 0))</f>
        <v>0</v>
      </c>
      <c r="O12" s="597">
        <f>SUM(N12:N15)</f>
        <v>0</v>
      </c>
      <c r="P12" s="424"/>
    </row>
    <row r="13" spans="1:16" s="49" customFormat="1" ht="10" x14ac:dyDescent="0.35">
      <c r="A13" s="439"/>
      <c r="B13" s="578"/>
      <c r="C13" s="444"/>
      <c r="D13" s="569"/>
      <c r="E13" s="167" t="str">
        <f t="shared" ref="E13:E21" si="0">L13</f>
        <v>BF2</v>
      </c>
      <c r="F13" s="185" t="s">
        <v>36</v>
      </c>
      <c r="G13" s="182"/>
      <c r="H13" s="166"/>
      <c r="I13" s="481"/>
      <c r="J13" s="433"/>
      <c r="K13" s="571"/>
      <c r="L13" s="52" t="s">
        <v>310</v>
      </c>
      <c r="M13" s="270" t="s">
        <v>36</v>
      </c>
      <c r="N13" s="269">
        <f>IF(M13="1. Std / config", $K$12/COUNTA($L$12:$L$15), IF(M13="2. Cust / Dev1", $K$12/COUNTA($L$12:$L$15)/2, 0))</f>
        <v>0</v>
      </c>
      <c r="O13" s="574"/>
      <c r="P13" s="569"/>
    </row>
    <row r="14" spans="1:16" s="49" customFormat="1" ht="10" x14ac:dyDescent="0.35">
      <c r="A14" s="439"/>
      <c r="B14" s="578"/>
      <c r="C14" s="444"/>
      <c r="D14" s="569"/>
      <c r="E14" s="163" t="str">
        <f t="shared" si="0"/>
        <v>BF3</v>
      </c>
      <c r="F14" s="185" t="s">
        <v>36</v>
      </c>
      <c r="G14" s="182"/>
      <c r="H14" s="166"/>
      <c r="I14" s="481"/>
      <c r="J14" s="433"/>
      <c r="K14" s="571"/>
      <c r="L14" s="56" t="s">
        <v>311</v>
      </c>
      <c r="M14" s="270" t="s">
        <v>36</v>
      </c>
      <c r="N14" s="269">
        <f>IF(M14="1. Std / config", $K$12/COUNTA($L$12:$L$15), IF(M14="2. Cust / Dev1", $K$12/COUNTA($L$12:$L$15)/2, 0))</f>
        <v>0</v>
      </c>
      <c r="O14" s="574"/>
      <c r="P14" s="569"/>
    </row>
    <row r="15" spans="1:16" s="49" customFormat="1" ht="195" customHeight="1" x14ac:dyDescent="0.35">
      <c r="A15" s="439"/>
      <c r="B15" s="578"/>
      <c r="C15" s="444"/>
      <c r="D15" s="569"/>
      <c r="E15" s="167" t="str">
        <f t="shared" si="0"/>
        <v>BF4</v>
      </c>
      <c r="F15" s="185" t="s">
        <v>36</v>
      </c>
      <c r="G15" s="182"/>
      <c r="H15" s="166"/>
      <c r="I15" s="481"/>
      <c r="J15" s="433"/>
      <c r="K15" s="571"/>
      <c r="L15" s="52" t="s">
        <v>312</v>
      </c>
      <c r="M15" s="270" t="s">
        <v>36</v>
      </c>
      <c r="N15" s="269">
        <f>IF(M15="1. Std / config", $K$12/COUNTA($L$12:$L$15), IF(M15="2. Cust / Dev1", $K$12/COUNTA($L$12:$L$15)/2, 0))</f>
        <v>0</v>
      </c>
      <c r="O15" s="574"/>
      <c r="P15" s="569"/>
    </row>
    <row r="16" spans="1:16" s="49" customFormat="1" ht="10" x14ac:dyDescent="0.35">
      <c r="A16" s="576" t="s">
        <v>313</v>
      </c>
      <c r="B16" s="577" t="s">
        <v>314</v>
      </c>
      <c r="C16" s="446" t="s">
        <v>315</v>
      </c>
      <c r="D16" s="426" t="s">
        <v>316</v>
      </c>
      <c r="E16" s="167" t="str">
        <f>L16</f>
        <v>BF1</v>
      </c>
      <c r="F16" s="185" t="s">
        <v>36</v>
      </c>
      <c r="G16" s="181"/>
      <c r="H16" s="168"/>
      <c r="I16" s="480" t="s">
        <v>27</v>
      </c>
      <c r="J16" s="432">
        <f>IF(I16='Response Guidlines'!$D$81,'Response Guidlines'!$C$81, IF(I16='Response Guidlines'!$D$82,'Response Guidlines'!$C$82,IF(I16='Response Guidlines'!$D$83,'Response Guidlines'!$C$83,IF(I16='Response Guidlines'!$D$84,'Response Guidlines'!$C$84,IF(I16='Response Guidlines'!$D$85,'Response Guidlines'!$C$85,IF(I16='Response Guidlines'!$D$86,'Response Guidlines'!$C$86,IF(I16='Response Guidlines'!$D$87,'Response Guidlines'!$C$87,"No Rating")))))))</f>
        <v>4</v>
      </c>
      <c r="K16" s="570">
        <f>IFERROR((J16/$J$58)/_xlfn.XLOOKUP('Scoring Summary'!$D$20,'Response Guidlines'!$D$92:$D$191,'Response Guidlines'!$C$92:$C$191,"",0,1),0)</f>
        <v>2.2222222222222112E-2</v>
      </c>
      <c r="L16" s="52" t="s">
        <v>309</v>
      </c>
      <c r="M16" s="270" t="s">
        <v>36</v>
      </c>
      <c r="N16" s="269">
        <f>IF(M16="1. Std / config", $K$16/COUNTA($L$16:$L$25), IF(M16="2. Cust / Dev1", $K$16/COUNTA($L$16:$L$25)/2, 0))</f>
        <v>0</v>
      </c>
      <c r="O16" s="573">
        <f>SUM(N16:N25)</f>
        <v>0</v>
      </c>
      <c r="P16" s="426"/>
    </row>
    <row r="17" spans="1:16" s="49" customFormat="1" ht="10" x14ac:dyDescent="0.35">
      <c r="A17" s="439"/>
      <c r="B17" s="578"/>
      <c r="C17" s="444"/>
      <c r="D17" s="427"/>
      <c r="E17" s="167" t="str">
        <f t="shared" si="0"/>
        <v>BF2</v>
      </c>
      <c r="F17" s="185" t="s">
        <v>36</v>
      </c>
      <c r="G17" s="182"/>
      <c r="H17" s="166"/>
      <c r="I17" s="481"/>
      <c r="J17" s="433"/>
      <c r="K17" s="571"/>
      <c r="L17" s="52" t="s">
        <v>310</v>
      </c>
      <c r="M17" s="270" t="s">
        <v>36</v>
      </c>
      <c r="N17" s="269">
        <f t="shared" ref="N17:N25" si="1">IF(M17="1. Std / config", $K$16/COUNTA($L$16:$L$25), IF(M17="2. Cust / Dev1", $K$16/COUNTA($L$16:$L$25)/2, 0))</f>
        <v>0</v>
      </c>
      <c r="O17" s="574"/>
      <c r="P17" s="427"/>
    </row>
    <row r="18" spans="1:16" s="49" customFormat="1" ht="10" x14ac:dyDescent="0.35">
      <c r="A18" s="439"/>
      <c r="B18" s="578"/>
      <c r="C18" s="444"/>
      <c r="D18" s="427"/>
      <c r="E18" s="163" t="str">
        <f t="shared" si="0"/>
        <v>BF3</v>
      </c>
      <c r="F18" s="185" t="s">
        <v>36</v>
      </c>
      <c r="G18" s="182"/>
      <c r="H18" s="166"/>
      <c r="I18" s="481"/>
      <c r="J18" s="433"/>
      <c r="K18" s="571"/>
      <c r="L18" s="52" t="s">
        <v>311</v>
      </c>
      <c r="M18" s="270" t="s">
        <v>36</v>
      </c>
      <c r="N18" s="269">
        <f t="shared" si="1"/>
        <v>0</v>
      </c>
      <c r="O18" s="574"/>
      <c r="P18" s="427"/>
    </row>
    <row r="19" spans="1:16" s="49" customFormat="1" ht="10" x14ac:dyDescent="0.35">
      <c r="A19" s="439"/>
      <c r="B19" s="578"/>
      <c r="C19" s="444"/>
      <c r="D19" s="427"/>
      <c r="E19" s="167" t="str">
        <f t="shared" si="0"/>
        <v>BF4</v>
      </c>
      <c r="F19" s="185" t="s">
        <v>36</v>
      </c>
      <c r="G19" s="182"/>
      <c r="H19" s="166"/>
      <c r="I19" s="481"/>
      <c r="J19" s="433"/>
      <c r="K19" s="571"/>
      <c r="L19" s="52" t="s">
        <v>312</v>
      </c>
      <c r="M19" s="270" t="s">
        <v>36</v>
      </c>
      <c r="N19" s="269">
        <f t="shared" si="1"/>
        <v>0</v>
      </c>
      <c r="O19" s="574"/>
      <c r="P19" s="427"/>
    </row>
    <row r="20" spans="1:16" s="49" customFormat="1" ht="13.5" customHeight="1" x14ac:dyDescent="0.35">
      <c r="A20" s="439"/>
      <c r="B20" s="578"/>
      <c r="C20" s="444"/>
      <c r="D20" s="427"/>
      <c r="E20" s="163" t="str">
        <f t="shared" si="0"/>
        <v>BF5</v>
      </c>
      <c r="F20" s="185" t="s">
        <v>36</v>
      </c>
      <c r="G20" s="182"/>
      <c r="H20" s="166"/>
      <c r="I20" s="481"/>
      <c r="J20" s="433"/>
      <c r="K20" s="571"/>
      <c r="L20" s="52" t="s">
        <v>317</v>
      </c>
      <c r="M20" s="270" t="s">
        <v>36</v>
      </c>
      <c r="N20" s="269">
        <f t="shared" si="1"/>
        <v>0</v>
      </c>
      <c r="O20" s="574"/>
      <c r="P20" s="427"/>
    </row>
    <row r="21" spans="1:16" s="49" customFormat="1" ht="10" x14ac:dyDescent="0.35">
      <c r="A21" s="439"/>
      <c r="B21" s="578"/>
      <c r="C21" s="444"/>
      <c r="D21" s="427"/>
      <c r="E21" s="163" t="str">
        <f t="shared" si="0"/>
        <v>BF6</v>
      </c>
      <c r="F21" s="185" t="s">
        <v>36</v>
      </c>
      <c r="G21" s="182"/>
      <c r="H21" s="166"/>
      <c r="I21" s="481"/>
      <c r="J21" s="433"/>
      <c r="K21" s="571"/>
      <c r="L21" s="52" t="s">
        <v>318</v>
      </c>
      <c r="M21" s="270" t="s">
        <v>36</v>
      </c>
      <c r="N21" s="269">
        <f t="shared" si="1"/>
        <v>0</v>
      </c>
      <c r="O21" s="574"/>
      <c r="P21" s="427"/>
    </row>
    <row r="22" spans="1:16" s="49" customFormat="1" ht="10" x14ac:dyDescent="0.35">
      <c r="A22" s="439"/>
      <c r="B22" s="578"/>
      <c r="C22" s="444"/>
      <c r="D22" s="427"/>
      <c r="E22" s="163" t="str">
        <f t="shared" ref="E22:E25" si="2">L22</f>
        <v>BF7</v>
      </c>
      <c r="F22" s="185" t="s">
        <v>36</v>
      </c>
      <c r="G22" s="182"/>
      <c r="H22" s="166"/>
      <c r="I22" s="481"/>
      <c r="J22" s="433"/>
      <c r="K22" s="571"/>
      <c r="L22" s="52" t="s">
        <v>319</v>
      </c>
      <c r="M22" s="270" t="s">
        <v>36</v>
      </c>
      <c r="N22" s="269">
        <f t="shared" si="1"/>
        <v>0</v>
      </c>
      <c r="O22" s="574"/>
      <c r="P22" s="427"/>
    </row>
    <row r="23" spans="1:16" s="49" customFormat="1" ht="10" x14ac:dyDescent="0.35">
      <c r="A23" s="439"/>
      <c r="B23" s="578"/>
      <c r="C23" s="444"/>
      <c r="D23" s="427"/>
      <c r="E23" s="163" t="str">
        <f t="shared" si="2"/>
        <v>AF1</v>
      </c>
      <c r="F23" s="185" t="s">
        <v>36</v>
      </c>
      <c r="G23" s="182"/>
      <c r="H23" s="166"/>
      <c r="I23" s="481"/>
      <c r="J23" s="433"/>
      <c r="K23" s="571"/>
      <c r="L23" s="52" t="s">
        <v>320</v>
      </c>
      <c r="M23" s="270" t="s">
        <v>36</v>
      </c>
      <c r="N23" s="269">
        <f t="shared" si="1"/>
        <v>0</v>
      </c>
      <c r="O23" s="574"/>
      <c r="P23" s="427"/>
    </row>
    <row r="24" spans="1:16" s="49" customFormat="1" ht="10" x14ac:dyDescent="0.35">
      <c r="A24" s="439"/>
      <c r="B24" s="578"/>
      <c r="C24" s="444"/>
      <c r="D24" s="427"/>
      <c r="E24" s="163" t="str">
        <f t="shared" si="2"/>
        <v>AF2</v>
      </c>
      <c r="F24" s="185" t="s">
        <v>36</v>
      </c>
      <c r="G24" s="182"/>
      <c r="H24" s="166"/>
      <c r="I24" s="481"/>
      <c r="J24" s="433"/>
      <c r="K24" s="571"/>
      <c r="L24" s="52" t="s">
        <v>321</v>
      </c>
      <c r="M24" s="270" t="s">
        <v>36</v>
      </c>
      <c r="N24" s="269">
        <f t="shared" si="1"/>
        <v>0</v>
      </c>
      <c r="O24" s="574"/>
      <c r="P24" s="427"/>
    </row>
    <row r="25" spans="1:16" s="49" customFormat="1" ht="357.75" customHeight="1" x14ac:dyDescent="0.35">
      <c r="A25" s="439"/>
      <c r="B25" s="578"/>
      <c r="C25" s="444"/>
      <c r="D25" s="427"/>
      <c r="E25" s="163" t="str">
        <f t="shared" si="2"/>
        <v>EF1</v>
      </c>
      <c r="F25" s="185" t="s">
        <v>36</v>
      </c>
      <c r="G25" s="182"/>
      <c r="H25" s="166"/>
      <c r="I25" s="481"/>
      <c r="J25" s="433"/>
      <c r="K25" s="571"/>
      <c r="L25" s="52" t="s">
        <v>322</v>
      </c>
      <c r="M25" s="270" t="s">
        <v>36</v>
      </c>
      <c r="N25" s="269">
        <f t="shared" si="1"/>
        <v>0</v>
      </c>
      <c r="O25" s="575"/>
      <c r="P25" s="427"/>
    </row>
    <row r="26" spans="1:16" s="49" customFormat="1" ht="10" x14ac:dyDescent="0.35">
      <c r="A26" s="576" t="s">
        <v>323</v>
      </c>
      <c r="B26" s="577" t="s">
        <v>324</v>
      </c>
      <c r="C26" s="582" t="s">
        <v>325</v>
      </c>
      <c r="D26" s="424" t="s">
        <v>326</v>
      </c>
      <c r="E26" s="163" t="str">
        <f>L26</f>
        <v>BF1</v>
      </c>
      <c r="F26" s="185" t="s">
        <v>36</v>
      </c>
      <c r="G26" s="181"/>
      <c r="H26" s="168"/>
      <c r="I26" s="480" t="s">
        <v>27</v>
      </c>
      <c r="J26" s="432">
        <f>IF(I26='Response Guidlines'!$D$81,'Response Guidlines'!$C$81, IF(I26='Response Guidlines'!$D$82,'Response Guidlines'!$C$82,IF(I26='Response Guidlines'!$D$83,'Response Guidlines'!$C$83,IF(I26='Response Guidlines'!$D$84,'Response Guidlines'!$C$84,IF(I26='Response Guidlines'!$D$85,'Response Guidlines'!$C$85,IF(I26='Response Guidlines'!$D$86,'Response Guidlines'!$C$86,IF(I26='Response Guidlines'!$D$87,'Response Guidlines'!$C$87,"No Rating")))))))</f>
        <v>4</v>
      </c>
      <c r="K26" s="570">
        <f>IFERROR((J26/$J$58)/_xlfn.XLOOKUP('Scoring Summary'!$D$20,'Response Guidlines'!$D$92:$D$191,'Response Guidlines'!$C$92:$C$191,"",0,1),0)</f>
        <v>2.2222222222222112E-2</v>
      </c>
      <c r="L26" s="56" t="s">
        <v>309</v>
      </c>
      <c r="M26" s="270" t="s">
        <v>36</v>
      </c>
      <c r="N26" s="269">
        <f>IF(M26="1. Std / config", $K$26/COUNTA($L$26:$L$30), IF(M26="2. Cust / Dev1", $K$26/COUNTA($L$16:$L$30)/2, 0))</f>
        <v>0</v>
      </c>
      <c r="O26" s="573">
        <f>SUM(N26:N30)</f>
        <v>0</v>
      </c>
      <c r="P26" s="424"/>
    </row>
    <row r="27" spans="1:16" s="49" customFormat="1" ht="10" x14ac:dyDescent="0.35">
      <c r="A27" s="439"/>
      <c r="B27" s="578"/>
      <c r="C27" s="583"/>
      <c r="D27" s="569"/>
      <c r="E27" s="167" t="str">
        <f t="shared" ref="E27:E30" si="3">L27</f>
        <v>BF2</v>
      </c>
      <c r="F27" s="185" t="s">
        <v>36</v>
      </c>
      <c r="G27" s="182"/>
      <c r="H27" s="166"/>
      <c r="I27" s="481"/>
      <c r="J27" s="433"/>
      <c r="K27" s="571"/>
      <c r="L27" s="52" t="s">
        <v>310</v>
      </c>
      <c r="M27" s="270" t="s">
        <v>36</v>
      </c>
      <c r="N27" s="269">
        <f t="shared" ref="N27:N30" si="4">IF(M27="1. Std / config", $K$26/COUNTA($L$26:$L$30), IF(M27="2. Cust / Dev1", $K$26/COUNTA($L$16:$L$30)/2, 0))</f>
        <v>0</v>
      </c>
      <c r="O27" s="574"/>
      <c r="P27" s="569"/>
    </row>
    <row r="28" spans="1:16" s="49" customFormat="1" ht="10" x14ac:dyDescent="0.35">
      <c r="A28" s="439"/>
      <c r="B28" s="578"/>
      <c r="C28" s="583"/>
      <c r="D28" s="569"/>
      <c r="E28" s="163" t="str">
        <f t="shared" si="3"/>
        <v>BF3</v>
      </c>
      <c r="F28" s="185" t="s">
        <v>36</v>
      </c>
      <c r="G28" s="182"/>
      <c r="H28" s="166"/>
      <c r="I28" s="481"/>
      <c r="J28" s="433"/>
      <c r="K28" s="571"/>
      <c r="L28" s="56" t="s">
        <v>311</v>
      </c>
      <c r="M28" s="270" t="s">
        <v>36</v>
      </c>
      <c r="N28" s="269">
        <f t="shared" si="4"/>
        <v>0</v>
      </c>
      <c r="O28" s="574"/>
      <c r="P28" s="569"/>
    </row>
    <row r="29" spans="1:16" s="49" customFormat="1" ht="10" x14ac:dyDescent="0.35">
      <c r="A29" s="439"/>
      <c r="B29" s="578"/>
      <c r="C29" s="583"/>
      <c r="D29" s="569"/>
      <c r="E29" s="167" t="str">
        <f t="shared" si="3"/>
        <v>BF4</v>
      </c>
      <c r="F29" s="185" t="s">
        <v>36</v>
      </c>
      <c r="G29" s="182"/>
      <c r="H29" s="166"/>
      <c r="I29" s="481"/>
      <c r="J29" s="433"/>
      <c r="K29" s="571"/>
      <c r="L29" s="52" t="s">
        <v>312</v>
      </c>
      <c r="M29" s="270" t="s">
        <v>36</v>
      </c>
      <c r="N29" s="269">
        <f t="shared" si="4"/>
        <v>0</v>
      </c>
      <c r="O29" s="574"/>
      <c r="P29" s="569"/>
    </row>
    <row r="30" spans="1:16" s="49" customFormat="1" ht="225.75" customHeight="1" x14ac:dyDescent="0.35">
      <c r="A30" s="439"/>
      <c r="B30" s="578"/>
      <c r="C30" s="583"/>
      <c r="D30" s="569"/>
      <c r="E30" s="163" t="str">
        <f t="shared" si="3"/>
        <v>BF5</v>
      </c>
      <c r="F30" s="185" t="s">
        <v>36</v>
      </c>
      <c r="G30" s="182"/>
      <c r="H30" s="166"/>
      <c r="I30" s="481"/>
      <c r="J30" s="433"/>
      <c r="K30" s="571"/>
      <c r="L30" s="56" t="s">
        <v>317</v>
      </c>
      <c r="M30" s="270" t="s">
        <v>36</v>
      </c>
      <c r="N30" s="269">
        <f t="shared" si="4"/>
        <v>0</v>
      </c>
      <c r="O30" s="575"/>
      <c r="P30" s="569"/>
    </row>
    <row r="31" spans="1:16" s="49" customFormat="1" ht="10" x14ac:dyDescent="0.35">
      <c r="A31" s="576" t="s">
        <v>327</v>
      </c>
      <c r="B31" s="577" t="s">
        <v>328</v>
      </c>
      <c r="C31" s="446" t="s">
        <v>329</v>
      </c>
      <c r="D31" s="424" t="s">
        <v>330</v>
      </c>
      <c r="E31" s="163" t="str">
        <f>L31</f>
        <v>BF1</v>
      </c>
      <c r="F31" s="185" t="s">
        <v>36</v>
      </c>
      <c r="G31" s="181"/>
      <c r="H31" s="168"/>
      <c r="I31" s="480" t="s">
        <v>28</v>
      </c>
      <c r="J31" s="432">
        <f>IF(I31='Response Guidlines'!$D$81,'Response Guidlines'!$C$81, IF(I31='Response Guidlines'!$D$82,'Response Guidlines'!$C$82,IF(I31='Response Guidlines'!$D$83,'Response Guidlines'!$C$83,IF(I31='Response Guidlines'!$D$84,'Response Guidlines'!$C$84,IF(I31='Response Guidlines'!$D$85,'Response Guidlines'!$C$85,IF(I31='Response Guidlines'!$D$86,'Response Guidlines'!$C$86,IF(I31='Response Guidlines'!$D$87,'Response Guidlines'!$C$87,"No Rating")))))))</f>
        <v>5</v>
      </c>
      <c r="K31" s="570">
        <f>IFERROR((J31/$J$58)/_xlfn.XLOOKUP('Scoring Summary'!$D$20,'Response Guidlines'!$D$92:$D$191,'Response Guidlines'!$C$92:$C$191,"",0,1),0)</f>
        <v>2.7777777777777641E-2</v>
      </c>
      <c r="L31" s="56" t="s">
        <v>309</v>
      </c>
      <c r="M31" s="270" t="s">
        <v>36</v>
      </c>
      <c r="N31" s="269">
        <f>IF(M31="1. Std / config", $K$31/COUNTA($L$31:$L$36), IF(M31="2. Cust / Dev1", $K$31/COUNTA($L$31:$L$36)/2, 0))</f>
        <v>0</v>
      </c>
      <c r="O31" s="574">
        <f>SUM(N31:N36)</f>
        <v>0</v>
      </c>
      <c r="P31" s="424"/>
    </row>
    <row r="32" spans="1:16" s="49" customFormat="1" ht="10" x14ac:dyDescent="0.35">
      <c r="A32" s="439"/>
      <c r="B32" s="578"/>
      <c r="C32" s="444"/>
      <c r="D32" s="569"/>
      <c r="E32" s="167" t="str">
        <f t="shared" ref="E32:E35" si="5">L32</f>
        <v>BF2</v>
      </c>
      <c r="F32" s="185" t="s">
        <v>36</v>
      </c>
      <c r="G32" s="182"/>
      <c r="H32" s="166"/>
      <c r="I32" s="481"/>
      <c r="J32" s="433"/>
      <c r="K32" s="571"/>
      <c r="L32" s="52" t="s">
        <v>310</v>
      </c>
      <c r="M32" s="270" t="s">
        <v>36</v>
      </c>
      <c r="N32" s="269">
        <f t="shared" ref="N32:N36" si="6">IF(M32="1. Std / config", $K$31/COUNTA($L$31:$L$36), IF(M32="2. Cust / Dev1", $K$31/COUNTA($L$31:$L$36)/2, 0))</f>
        <v>0</v>
      </c>
      <c r="O32" s="574"/>
      <c r="P32" s="569"/>
    </row>
    <row r="33" spans="1:16" s="49" customFormat="1" ht="10" x14ac:dyDescent="0.35">
      <c r="A33" s="439"/>
      <c r="B33" s="578"/>
      <c r="C33" s="444"/>
      <c r="D33" s="569"/>
      <c r="E33" s="163" t="str">
        <f t="shared" si="5"/>
        <v>BF3</v>
      </c>
      <c r="F33" s="185" t="s">
        <v>36</v>
      </c>
      <c r="G33" s="182"/>
      <c r="H33" s="166"/>
      <c r="I33" s="481"/>
      <c r="J33" s="433"/>
      <c r="K33" s="571"/>
      <c r="L33" s="56" t="s">
        <v>311</v>
      </c>
      <c r="M33" s="270" t="s">
        <v>36</v>
      </c>
      <c r="N33" s="269">
        <f t="shared" si="6"/>
        <v>0</v>
      </c>
      <c r="O33" s="574"/>
      <c r="P33" s="569"/>
    </row>
    <row r="34" spans="1:16" s="49" customFormat="1" ht="10" x14ac:dyDescent="0.35">
      <c r="A34" s="439"/>
      <c r="B34" s="578"/>
      <c r="C34" s="444"/>
      <c r="D34" s="569"/>
      <c r="E34" s="167" t="str">
        <f t="shared" si="5"/>
        <v>BF4</v>
      </c>
      <c r="F34" s="185" t="s">
        <v>36</v>
      </c>
      <c r="G34" s="182"/>
      <c r="H34" s="166"/>
      <c r="I34" s="481"/>
      <c r="J34" s="433"/>
      <c r="K34" s="571"/>
      <c r="L34" s="52" t="s">
        <v>312</v>
      </c>
      <c r="M34" s="270" t="s">
        <v>36</v>
      </c>
      <c r="N34" s="269">
        <f t="shared" si="6"/>
        <v>0</v>
      </c>
      <c r="O34" s="574"/>
      <c r="P34" s="569"/>
    </row>
    <row r="35" spans="1:16" s="49" customFormat="1" ht="10" x14ac:dyDescent="0.35">
      <c r="A35" s="439"/>
      <c r="B35" s="578"/>
      <c r="C35" s="444"/>
      <c r="D35" s="569"/>
      <c r="E35" s="163" t="str">
        <f t="shared" si="5"/>
        <v>BF5</v>
      </c>
      <c r="F35" s="185" t="s">
        <v>36</v>
      </c>
      <c r="G35" s="182"/>
      <c r="H35" s="166"/>
      <c r="I35" s="481"/>
      <c r="J35" s="433"/>
      <c r="K35" s="571"/>
      <c r="L35" s="56" t="s">
        <v>317</v>
      </c>
      <c r="M35" s="270" t="s">
        <v>36</v>
      </c>
      <c r="N35" s="269">
        <f t="shared" si="6"/>
        <v>0</v>
      </c>
      <c r="O35" s="574"/>
      <c r="P35" s="569"/>
    </row>
    <row r="36" spans="1:16" s="49" customFormat="1" ht="153.75" customHeight="1" x14ac:dyDescent="0.35">
      <c r="A36" s="440"/>
      <c r="B36" s="579"/>
      <c r="C36" s="445"/>
      <c r="D36" s="438"/>
      <c r="E36" s="167" t="str">
        <f>L36</f>
        <v>BF6</v>
      </c>
      <c r="F36" s="185" t="s">
        <v>36</v>
      </c>
      <c r="G36" s="183"/>
      <c r="H36" s="165"/>
      <c r="I36" s="492"/>
      <c r="J36" s="434"/>
      <c r="K36" s="572"/>
      <c r="L36" s="56" t="s">
        <v>318</v>
      </c>
      <c r="M36" s="270" t="s">
        <v>36</v>
      </c>
      <c r="N36" s="269">
        <f t="shared" si="6"/>
        <v>0</v>
      </c>
      <c r="O36" s="575"/>
      <c r="P36" s="438"/>
    </row>
    <row r="37" spans="1:16" s="49" customFormat="1" ht="10" x14ac:dyDescent="0.35">
      <c r="A37" s="576" t="s">
        <v>331</v>
      </c>
      <c r="B37" s="577" t="s">
        <v>1282</v>
      </c>
      <c r="C37" s="446" t="s">
        <v>332</v>
      </c>
      <c r="D37" s="424" t="s">
        <v>330</v>
      </c>
      <c r="E37" s="163" t="str">
        <f>L37</f>
        <v>BF1</v>
      </c>
      <c r="F37" s="185" t="s">
        <v>36</v>
      </c>
      <c r="G37" s="188"/>
      <c r="H37" s="169"/>
      <c r="I37" s="480" t="s">
        <v>28</v>
      </c>
      <c r="J37" s="432">
        <f>IF(I37='Response Guidlines'!$D$81,'Response Guidlines'!$C$81, IF(I37='Response Guidlines'!$D$82,'Response Guidlines'!$C$82,IF(I37='Response Guidlines'!$D$83,'Response Guidlines'!$C$83,IF(I37='Response Guidlines'!$D$84,'Response Guidlines'!$C$84,IF(I37='Response Guidlines'!$D$85,'Response Guidlines'!$C$85,IF(I37='Response Guidlines'!$D$86,'Response Guidlines'!$C$86,IF(I37='Response Guidlines'!$D$87,'Response Guidlines'!$C$87,"No Rating")))))))</f>
        <v>5</v>
      </c>
      <c r="K37" s="570">
        <f>IFERROR((J37/$J$58)/_xlfn.XLOOKUP('Scoring Summary'!$D$20,'Response Guidlines'!$D$92:$D$191,'Response Guidlines'!$C$92:$C$191,"",0,1),0)</f>
        <v>2.7777777777777641E-2</v>
      </c>
      <c r="L37" s="56" t="s">
        <v>309</v>
      </c>
      <c r="M37" s="270" t="s">
        <v>36</v>
      </c>
      <c r="N37" s="269">
        <f>IF(M37="1. Std / config", $K$37/COUNTA($L$37:$L$42), IF(M37="2. Cust / Dev1", $K$37/COUNTA($L$37:$L$42)/2, 0))</f>
        <v>0</v>
      </c>
      <c r="O37" s="574">
        <f>SUM(N37:N42)</f>
        <v>0</v>
      </c>
      <c r="P37" s="424"/>
    </row>
    <row r="38" spans="1:16" s="49" customFormat="1" ht="10" x14ac:dyDescent="0.35">
      <c r="A38" s="439"/>
      <c r="B38" s="578"/>
      <c r="C38" s="444"/>
      <c r="D38" s="569"/>
      <c r="E38" s="167" t="str">
        <f t="shared" ref="E38:E41" si="7">L38</f>
        <v>BF2</v>
      </c>
      <c r="F38" s="185" t="s">
        <v>36</v>
      </c>
      <c r="G38" s="189"/>
      <c r="H38" s="170"/>
      <c r="I38" s="481"/>
      <c r="J38" s="433"/>
      <c r="K38" s="571"/>
      <c r="L38" s="52" t="s">
        <v>310</v>
      </c>
      <c r="M38" s="270" t="s">
        <v>36</v>
      </c>
      <c r="N38" s="269">
        <f t="shared" ref="N38:N42" si="8">IF(M38="1. Std / config", $K$37/COUNTA($L$37:$L$42), IF(M38="2. Cust / Dev1", $K$37/COUNTA($L$37:$L$42)/2, 0))</f>
        <v>0</v>
      </c>
      <c r="O38" s="574"/>
      <c r="P38" s="580"/>
    </row>
    <row r="39" spans="1:16" s="49" customFormat="1" ht="10" x14ac:dyDescent="0.35">
      <c r="A39" s="439"/>
      <c r="B39" s="578"/>
      <c r="C39" s="444"/>
      <c r="D39" s="569"/>
      <c r="E39" s="163" t="str">
        <f t="shared" si="7"/>
        <v>BF3</v>
      </c>
      <c r="F39" s="185" t="s">
        <v>36</v>
      </c>
      <c r="G39" s="189"/>
      <c r="H39" s="170"/>
      <c r="I39" s="481"/>
      <c r="J39" s="433"/>
      <c r="K39" s="571"/>
      <c r="L39" s="56" t="s">
        <v>311</v>
      </c>
      <c r="M39" s="270" t="s">
        <v>36</v>
      </c>
      <c r="N39" s="269">
        <f t="shared" si="8"/>
        <v>0</v>
      </c>
      <c r="O39" s="574"/>
      <c r="P39" s="580"/>
    </row>
    <row r="40" spans="1:16" s="49" customFormat="1" ht="10" x14ac:dyDescent="0.35">
      <c r="A40" s="439"/>
      <c r="B40" s="578"/>
      <c r="C40" s="444"/>
      <c r="D40" s="569"/>
      <c r="E40" s="167" t="str">
        <f t="shared" si="7"/>
        <v>BF4</v>
      </c>
      <c r="F40" s="185" t="s">
        <v>36</v>
      </c>
      <c r="G40" s="189"/>
      <c r="H40" s="170"/>
      <c r="I40" s="481"/>
      <c r="J40" s="433"/>
      <c r="K40" s="571"/>
      <c r="L40" s="52" t="s">
        <v>312</v>
      </c>
      <c r="M40" s="270" t="s">
        <v>36</v>
      </c>
      <c r="N40" s="269">
        <f t="shared" si="8"/>
        <v>0</v>
      </c>
      <c r="O40" s="574"/>
      <c r="P40" s="580"/>
    </row>
    <row r="41" spans="1:16" s="49" customFormat="1" ht="10" x14ac:dyDescent="0.35">
      <c r="A41" s="439"/>
      <c r="B41" s="578"/>
      <c r="C41" s="444"/>
      <c r="D41" s="569"/>
      <c r="E41" s="163" t="str">
        <f t="shared" si="7"/>
        <v>BF5</v>
      </c>
      <c r="F41" s="185" t="s">
        <v>36</v>
      </c>
      <c r="G41" s="189"/>
      <c r="H41" s="170"/>
      <c r="I41" s="481"/>
      <c r="J41" s="433"/>
      <c r="K41" s="571"/>
      <c r="L41" s="56" t="s">
        <v>317</v>
      </c>
      <c r="M41" s="270" t="s">
        <v>36</v>
      </c>
      <c r="N41" s="269">
        <f t="shared" si="8"/>
        <v>0</v>
      </c>
      <c r="O41" s="574"/>
      <c r="P41" s="580"/>
    </row>
    <row r="42" spans="1:16" s="49" customFormat="1" ht="160.5" customHeight="1" x14ac:dyDescent="0.35">
      <c r="A42" s="440"/>
      <c r="B42" s="579"/>
      <c r="C42" s="445"/>
      <c r="D42" s="438"/>
      <c r="E42" s="167" t="str">
        <f>L42</f>
        <v>BF6</v>
      </c>
      <c r="F42" s="185" t="s">
        <v>36</v>
      </c>
      <c r="G42" s="190"/>
      <c r="H42" s="171"/>
      <c r="I42" s="492"/>
      <c r="J42" s="434"/>
      <c r="K42" s="572"/>
      <c r="L42" s="56" t="s">
        <v>318</v>
      </c>
      <c r="M42" s="270" t="s">
        <v>36</v>
      </c>
      <c r="N42" s="269">
        <f t="shared" si="8"/>
        <v>0</v>
      </c>
      <c r="O42" s="575"/>
      <c r="P42" s="581"/>
    </row>
    <row r="43" spans="1:16" s="49" customFormat="1" ht="10" x14ac:dyDescent="0.35">
      <c r="A43" s="576" t="s">
        <v>333</v>
      </c>
      <c r="B43" s="577" t="s">
        <v>334</v>
      </c>
      <c r="C43" s="446" t="s">
        <v>335</v>
      </c>
      <c r="D43" s="424" t="s">
        <v>336</v>
      </c>
      <c r="E43" s="163" t="str">
        <f>L43</f>
        <v>BF1</v>
      </c>
      <c r="F43" s="185" t="s">
        <v>36</v>
      </c>
      <c r="G43" s="181"/>
      <c r="H43" s="168"/>
      <c r="I43" s="480" t="s">
        <v>28</v>
      </c>
      <c r="J43" s="432">
        <f>IF(I43='Response Guidlines'!$D$81,'Response Guidlines'!$C$81, IF(I43='Response Guidlines'!$D$82,'Response Guidlines'!$C$82,IF(I43='Response Guidlines'!$D$83,'Response Guidlines'!$C$83,IF(I43='Response Guidlines'!$D$84,'Response Guidlines'!$C$84,IF(I43='Response Guidlines'!$D$85,'Response Guidlines'!$C$85,IF(I43='Response Guidlines'!$D$86,'Response Guidlines'!$C$86,IF(I43='Response Guidlines'!$D$87,'Response Guidlines'!$C$87,"No Rating")))))))</f>
        <v>5</v>
      </c>
      <c r="K43" s="570">
        <f>IFERROR((J43/$J$58)/_xlfn.XLOOKUP('Scoring Summary'!$D$20,'Response Guidlines'!$D$92:$D$191,'Response Guidlines'!$C$92:$C$191,"",0,1),0)</f>
        <v>2.7777777777777641E-2</v>
      </c>
      <c r="L43" s="56" t="s">
        <v>309</v>
      </c>
      <c r="M43" s="270" t="s">
        <v>36</v>
      </c>
      <c r="N43" s="269">
        <f>IF(M43="1. Std / config", $K$43/COUNTA($L$43:$L$46), IF(M43="2. Cust / Dev1", $K$43/COUNTA($L$43:$L$46)/2, 0))</f>
        <v>0</v>
      </c>
      <c r="O43" s="573">
        <f>SUM(N43:N46)</f>
        <v>0</v>
      </c>
      <c r="P43" s="424"/>
    </row>
    <row r="44" spans="1:16" s="49" customFormat="1" ht="10" x14ac:dyDescent="0.35">
      <c r="A44" s="439"/>
      <c r="B44" s="578"/>
      <c r="C44" s="444"/>
      <c r="D44" s="569"/>
      <c r="E44" s="167" t="str">
        <f t="shared" ref="E44:E46" si="9">L44</f>
        <v>BF2</v>
      </c>
      <c r="F44" s="185" t="s">
        <v>36</v>
      </c>
      <c r="G44" s="182"/>
      <c r="H44" s="166"/>
      <c r="I44" s="481"/>
      <c r="J44" s="433"/>
      <c r="K44" s="571"/>
      <c r="L44" s="52" t="s">
        <v>310</v>
      </c>
      <c r="M44" s="270" t="s">
        <v>36</v>
      </c>
      <c r="N44" s="269">
        <f t="shared" ref="N44:N46" si="10">IF(M44="1. Std / config", $K$43/COUNTA($L$43:$L$46), IF(M44="2. Cust / Dev1", $K$43/COUNTA($L$43:$L$46)/2, 0))</f>
        <v>0</v>
      </c>
      <c r="O44" s="574"/>
      <c r="P44" s="569"/>
    </row>
    <row r="45" spans="1:16" s="49" customFormat="1" ht="10" x14ac:dyDescent="0.35">
      <c r="A45" s="439"/>
      <c r="B45" s="578"/>
      <c r="C45" s="444"/>
      <c r="D45" s="569"/>
      <c r="E45" s="163" t="str">
        <f t="shared" si="9"/>
        <v>BF3</v>
      </c>
      <c r="F45" s="185" t="s">
        <v>36</v>
      </c>
      <c r="G45" s="182"/>
      <c r="H45" s="166"/>
      <c r="I45" s="481"/>
      <c r="J45" s="433"/>
      <c r="K45" s="571"/>
      <c r="L45" s="56" t="s">
        <v>311</v>
      </c>
      <c r="M45" s="270" t="s">
        <v>36</v>
      </c>
      <c r="N45" s="269">
        <f t="shared" si="10"/>
        <v>0</v>
      </c>
      <c r="O45" s="574"/>
      <c r="P45" s="569"/>
    </row>
    <row r="46" spans="1:16" s="49" customFormat="1" ht="171" customHeight="1" x14ac:dyDescent="0.35">
      <c r="A46" s="439"/>
      <c r="B46" s="578"/>
      <c r="C46" s="444"/>
      <c r="D46" s="569"/>
      <c r="E46" s="167" t="str">
        <f t="shared" si="9"/>
        <v>BF4</v>
      </c>
      <c r="F46" s="185" t="s">
        <v>36</v>
      </c>
      <c r="G46" s="182"/>
      <c r="H46" s="166"/>
      <c r="I46" s="481"/>
      <c r="J46" s="433"/>
      <c r="K46" s="571"/>
      <c r="L46" s="52" t="s">
        <v>312</v>
      </c>
      <c r="M46" s="270" t="s">
        <v>36</v>
      </c>
      <c r="N46" s="269">
        <f t="shared" si="10"/>
        <v>0</v>
      </c>
      <c r="O46" s="574"/>
      <c r="P46" s="569"/>
    </row>
    <row r="47" spans="1:16" s="49" customFormat="1" ht="10" x14ac:dyDescent="0.35">
      <c r="A47" s="576" t="s">
        <v>337</v>
      </c>
      <c r="B47" s="577" t="s">
        <v>338</v>
      </c>
      <c r="C47" s="446" t="s">
        <v>339</v>
      </c>
      <c r="D47" s="424" t="s">
        <v>307</v>
      </c>
      <c r="E47" s="163" t="str">
        <f>L47</f>
        <v>BF1</v>
      </c>
      <c r="F47" s="185" t="s">
        <v>36</v>
      </c>
      <c r="G47" s="181"/>
      <c r="H47" s="168"/>
      <c r="I47" s="480" t="s">
        <v>28</v>
      </c>
      <c r="J47" s="432">
        <f>IF(I47='Response Guidlines'!$D$81,'Response Guidlines'!$C$81, IF(I47='Response Guidlines'!$D$82,'Response Guidlines'!$C$82,IF(I47='Response Guidlines'!$D$83,'Response Guidlines'!$C$83,IF(I47='Response Guidlines'!$D$84,'Response Guidlines'!$C$84,IF(I47='Response Guidlines'!$D$85,'Response Guidlines'!$C$85,IF(I47='Response Guidlines'!$D$86,'Response Guidlines'!$C$86,IF(I47='Response Guidlines'!$D$87,'Response Guidlines'!$C$87,"No Rating")))))))</f>
        <v>5</v>
      </c>
      <c r="K47" s="570">
        <f>IFERROR((J47/$J$58)/_xlfn.XLOOKUP('Scoring Summary'!$D$20,'Response Guidlines'!$D$92:$D$191,'Response Guidlines'!$C$92:$C$191,"",0,1),0)</f>
        <v>2.7777777777777641E-2</v>
      </c>
      <c r="L47" s="56" t="s">
        <v>309</v>
      </c>
      <c r="M47" s="270" t="s">
        <v>36</v>
      </c>
      <c r="N47" s="269">
        <f>IF(M47="1. Std / config", $K$47/COUNTA($L$47:$L$51), IF(M47="2. Cust / Dev1", $K$47/COUNTA($L$47:$L$51)/2, 0))</f>
        <v>0</v>
      </c>
      <c r="O47" s="573">
        <f>SUM(N47:N51)</f>
        <v>0</v>
      </c>
      <c r="P47" s="424"/>
    </row>
    <row r="48" spans="1:16" s="49" customFormat="1" ht="10" x14ac:dyDescent="0.35">
      <c r="A48" s="439"/>
      <c r="B48" s="578"/>
      <c r="C48" s="444"/>
      <c r="D48" s="569"/>
      <c r="E48" s="167" t="str">
        <f t="shared" ref="E48:E51" si="11">L48</f>
        <v>BF2</v>
      </c>
      <c r="F48" s="185" t="s">
        <v>36</v>
      </c>
      <c r="G48" s="182"/>
      <c r="H48" s="166"/>
      <c r="I48" s="481"/>
      <c r="J48" s="433"/>
      <c r="K48" s="571"/>
      <c r="L48" s="52" t="s">
        <v>310</v>
      </c>
      <c r="M48" s="270" t="s">
        <v>36</v>
      </c>
      <c r="N48" s="269">
        <f t="shared" ref="N48:N51" si="12">IF(M48="1. Std / config", $K$47/COUNTA($L$47:$L$51), IF(M48="2. Cust / Dev1", $K$47/COUNTA($L$47:$L$51)/2, 0))</f>
        <v>0</v>
      </c>
      <c r="O48" s="574"/>
      <c r="P48" s="569"/>
    </row>
    <row r="49" spans="1:16" s="49" customFormat="1" ht="10" x14ac:dyDescent="0.35">
      <c r="A49" s="439"/>
      <c r="B49" s="578"/>
      <c r="C49" s="444"/>
      <c r="D49" s="569"/>
      <c r="E49" s="163" t="str">
        <f t="shared" si="11"/>
        <v>BF3</v>
      </c>
      <c r="F49" s="185" t="s">
        <v>36</v>
      </c>
      <c r="G49" s="182"/>
      <c r="H49" s="166"/>
      <c r="I49" s="481"/>
      <c r="J49" s="433"/>
      <c r="K49" s="571"/>
      <c r="L49" s="56" t="s">
        <v>311</v>
      </c>
      <c r="M49" s="270" t="s">
        <v>36</v>
      </c>
      <c r="N49" s="269">
        <f t="shared" si="12"/>
        <v>0</v>
      </c>
      <c r="O49" s="574"/>
      <c r="P49" s="569"/>
    </row>
    <row r="50" spans="1:16" s="49" customFormat="1" ht="10" x14ac:dyDescent="0.35">
      <c r="A50" s="439"/>
      <c r="B50" s="578"/>
      <c r="C50" s="444"/>
      <c r="D50" s="569"/>
      <c r="E50" s="167" t="str">
        <f t="shared" si="11"/>
        <v>BF4</v>
      </c>
      <c r="F50" s="185" t="s">
        <v>36</v>
      </c>
      <c r="G50" s="182"/>
      <c r="H50" s="166"/>
      <c r="I50" s="481"/>
      <c r="J50" s="433"/>
      <c r="K50" s="571"/>
      <c r="L50" s="52" t="s">
        <v>312</v>
      </c>
      <c r="M50" s="270" t="s">
        <v>36</v>
      </c>
      <c r="N50" s="269">
        <f t="shared" si="12"/>
        <v>0</v>
      </c>
      <c r="O50" s="574"/>
      <c r="P50" s="569"/>
    </row>
    <row r="51" spans="1:16" s="49" customFormat="1" ht="160.5" customHeight="1" x14ac:dyDescent="0.35">
      <c r="A51" s="440"/>
      <c r="B51" s="579"/>
      <c r="C51" s="445"/>
      <c r="D51" s="438"/>
      <c r="E51" s="163" t="str">
        <f t="shared" si="11"/>
        <v>BF5</v>
      </c>
      <c r="F51" s="185" t="s">
        <v>36</v>
      </c>
      <c r="G51" s="183"/>
      <c r="H51" s="165"/>
      <c r="I51" s="492"/>
      <c r="J51" s="434"/>
      <c r="K51" s="572"/>
      <c r="L51" s="56" t="s">
        <v>317</v>
      </c>
      <c r="M51" s="270" t="s">
        <v>36</v>
      </c>
      <c r="N51" s="269">
        <f t="shared" si="12"/>
        <v>0</v>
      </c>
      <c r="O51" s="575"/>
      <c r="P51" s="438"/>
    </row>
    <row r="52" spans="1:16" s="49" customFormat="1" ht="10" x14ac:dyDescent="0.35">
      <c r="A52" s="576" t="s">
        <v>340</v>
      </c>
      <c r="B52" s="577" t="s">
        <v>341</v>
      </c>
      <c r="C52" s="446" t="s">
        <v>342</v>
      </c>
      <c r="D52" s="424" t="s">
        <v>343</v>
      </c>
      <c r="E52" s="163" t="str">
        <f>L52</f>
        <v>BF1</v>
      </c>
      <c r="F52" s="185" t="s">
        <v>36</v>
      </c>
      <c r="G52" s="188"/>
      <c r="H52" s="169"/>
      <c r="I52" s="480" t="s">
        <v>27</v>
      </c>
      <c r="J52" s="432">
        <f>IF(I52='Response Guidlines'!$D$81,'Response Guidlines'!$C$81, IF(I52='Response Guidlines'!$D$82,'Response Guidlines'!$C$82,IF(I52='Response Guidlines'!$D$83,'Response Guidlines'!$C$83,IF(I52='Response Guidlines'!$D$84,'Response Guidlines'!$C$84,IF(I52='Response Guidlines'!$D$85,'Response Guidlines'!$C$85,IF(I52='Response Guidlines'!$D$86,'Response Guidlines'!$C$86,IF(I52='Response Guidlines'!$D$87,'Response Guidlines'!$C$87,"No Rating")))))))</f>
        <v>4</v>
      </c>
      <c r="K52" s="570">
        <f>IFERROR((J52/$J$58)/_xlfn.XLOOKUP('Scoring Summary'!$D$20,'Response Guidlines'!$D$92:$D$191,'Response Guidlines'!$C$92:$C$191,"",0,1),0)</f>
        <v>2.2222222222222112E-2</v>
      </c>
      <c r="L52" s="56" t="s">
        <v>309</v>
      </c>
      <c r="M52" s="270" t="s">
        <v>36</v>
      </c>
      <c r="N52" s="269">
        <f>IF(M52="1. Std / config", $K$52/COUNTA($L$52:$L$57), IF(M52="2. Cust / Dev1", $K$52/COUNTA($L$52:$L$57)/2, 0))</f>
        <v>0</v>
      </c>
      <c r="O52" s="573">
        <f>SUM(N52:N57)</f>
        <v>0</v>
      </c>
      <c r="P52" s="424"/>
    </row>
    <row r="53" spans="1:16" s="49" customFormat="1" ht="10" x14ac:dyDescent="0.35">
      <c r="A53" s="439"/>
      <c r="B53" s="578"/>
      <c r="C53" s="444"/>
      <c r="D53" s="569"/>
      <c r="E53" s="167" t="str">
        <f t="shared" ref="E53:E56" si="13">L53</f>
        <v>BF2</v>
      </c>
      <c r="F53" s="185" t="s">
        <v>36</v>
      </c>
      <c r="G53" s="189"/>
      <c r="H53" s="170"/>
      <c r="I53" s="481"/>
      <c r="J53" s="433"/>
      <c r="K53" s="571"/>
      <c r="L53" s="52" t="s">
        <v>310</v>
      </c>
      <c r="M53" s="270" t="s">
        <v>36</v>
      </c>
      <c r="N53" s="269">
        <f t="shared" ref="N53:N57" si="14">IF(M53="1. Std / config", $K$52/COUNTA($L$52:$L$57), IF(M53="2. Cust / Dev1", $K$52/COUNTA($L$52:$L$57)/2, 0))</f>
        <v>0</v>
      </c>
      <c r="O53" s="574"/>
      <c r="P53" s="569"/>
    </row>
    <row r="54" spans="1:16" s="49" customFormat="1" ht="10" x14ac:dyDescent="0.35">
      <c r="A54" s="439"/>
      <c r="B54" s="578"/>
      <c r="C54" s="444"/>
      <c r="D54" s="569"/>
      <c r="E54" s="163" t="str">
        <f t="shared" si="13"/>
        <v>BF3</v>
      </c>
      <c r="F54" s="185" t="s">
        <v>36</v>
      </c>
      <c r="G54" s="189"/>
      <c r="H54" s="170"/>
      <c r="I54" s="481"/>
      <c r="J54" s="433"/>
      <c r="K54" s="571"/>
      <c r="L54" s="56" t="s">
        <v>311</v>
      </c>
      <c r="M54" s="270" t="s">
        <v>36</v>
      </c>
      <c r="N54" s="269">
        <f t="shared" si="14"/>
        <v>0</v>
      </c>
      <c r="O54" s="574"/>
      <c r="P54" s="569"/>
    </row>
    <row r="55" spans="1:16" s="49" customFormat="1" ht="10" x14ac:dyDescent="0.35">
      <c r="A55" s="439"/>
      <c r="B55" s="578"/>
      <c r="C55" s="444"/>
      <c r="D55" s="569"/>
      <c r="E55" s="167" t="str">
        <f t="shared" si="13"/>
        <v>BF4</v>
      </c>
      <c r="F55" s="185" t="s">
        <v>36</v>
      </c>
      <c r="G55" s="189"/>
      <c r="H55" s="170"/>
      <c r="I55" s="481"/>
      <c r="J55" s="433"/>
      <c r="K55" s="571"/>
      <c r="L55" s="52" t="s">
        <v>312</v>
      </c>
      <c r="M55" s="270" t="s">
        <v>36</v>
      </c>
      <c r="N55" s="269">
        <f t="shared" si="14"/>
        <v>0</v>
      </c>
      <c r="O55" s="574"/>
      <c r="P55" s="569"/>
    </row>
    <row r="56" spans="1:16" s="49" customFormat="1" ht="10" x14ac:dyDescent="0.35">
      <c r="A56" s="439"/>
      <c r="B56" s="578"/>
      <c r="C56" s="444"/>
      <c r="D56" s="569"/>
      <c r="E56" s="163" t="str">
        <f t="shared" si="13"/>
        <v>BF5</v>
      </c>
      <c r="F56" s="185" t="s">
        <v>36</v>
      </c>
      <c r="G56" s="189"/>
      <c r="H56" s="170"/>
      <c r="I56" s="481"/>
      <c r="J56" s="433"/>
      <c r="K56" s="571"/>
      <c r="L56" s="56" t="s">
        <v>317</v>
      </c>
      <c r="M56" s="270" t="s">
        <v>36</v>
      </c>
      <c r="N56" s="269">
        <f t="shared" si="14"/>
        <v>0</v>
      </c>
      <c r="O56" s="574"/>
      <c r="P56" s="569"/>
    </row>
    <row r="57" spans="1:16" s="49" customFormat="1" ht="219.75" customHeight="1" thickBot="1" x14ac:dyDescent="0.4">
      <c r="A57" s="440"/>
      <c r="B57" s="579"/>
      <c r="C57" s="445"/>
      <c r="D57" s="438"/>
      <c r="E57" s="167" t="str">
        <f>L57</f>
        <v>AF1</v>
      </c>
      <c r="F57" s="185" t="s">
        <v>36</v>
      </c>
      <c r="G57" s="190"/>
      <c r="H57" s="171"/>
      <c r="I57" s="492"/>
      <c r="J57" s="434"/>
      <c r="K57" s="572"/>
      <c r="L57" s="56" t="s">
        <v>320</v>
      </c>
      <c r="M57" s="270" t="s">
        <v>36</v>
      </c>
      <c r="N57" s="269">
        <f t="shared" si="14"/>
        <v>0</v>
      </c>
      <c r="O57" s="575"/>
      <c r="P57" s="438"/>
    </row>
    <row r="58" spans="1:16" s="49" customFormat="1" ht="16.149999999999999" customHeight="1" thickBot="1" x14ac:dyDescent="0.4">
      <c r="A58" s="144"/>
      <c r="B58" s="179"/>
      <c r="C58" s="82" t="s">
        <v>138</v>
      </c>
      <c r="D58" s="82"/>
      <c r="E58" s="82"/>
      <c r="F58" s="82"/>
      <c r="G58" s="82"/>
      <c r="H58" s="82"/>
      <c r="I58" s="82"/>
      <c r="J58" s="145">
        <f>SUM(J12:J57)</f>
        <v>36</v>
      </c>
      <c r="K58" s="84">
        <f>IFERROR(SUM(K12:K57),0)</f>
        <v>0.19999999999999901</v>
      </c>
      <c r="L58" s="478" t="s">
        <v>139</v>
      </c>
      <c r="M58" s="479"/>
      <c r="N58" s="164"/>
      <c r="O58" s="84">
        <f>SUM(O12:O57)</f>
        <v>0</v>
      </c>
      <c r="P58" s="81"/>
    </row>
  </sheetData>
  <autoFilter ref="B11:P58" xr:uid="{5793E564-3813-4335-B2CE-40AEBBA2F51D}">
    <filterColumn colId="3" showButton="0"/>
    <filterColumn colId="11" showButton="0"/>
  </autoFilter>
  <mergeCells count="81">
    <mergeCell ref="K9:P9"/>
    <mergeCell ref="C16:C25"/>
    <mergeCell ref="B16:B25"/>
    <mergeCell ref="A16:A25"/>
    <mergeCell ref="D16:D25"/>
    <mergeCell ref="P12:P15"/>
    <mergeCell ref="P16:P25"/>
    <mergeCell ref="M11:N11"/>
    <mergeCell ref="O16:O25"/>
    <mergeCell ref="I16:I25"/>
    <mergeCell ref="J16:J25"/>
    <mergeCell ref="K16:K25"/>
    <mergeCell ref="J12:J15"/>
    <mergeCell ref="K12:K15"/>
    <mergeCell ref="O12:O15"/>
    <mergeCell ref="G2:I2"/>
    <mergeCell ref="A10:A11"/>
    <mergeCell ref="E10:H10"/>
    <mergeCell ref="A12:A15"/>
    <mergeCell ref="C12:C15"/>
    <mergeCell ref="D12:D15"/>
    <mergeCell ref="B10:D10"/>
    <mergeCell ref="B12:B15"/>
    <mergeCell ref="E11:F11"/>
    <mergeCell ref="I12:I15"/>
    <mergeCell ref="E8:H9"/>
    <mergeCell ref="A31:A36"/>
    <mergeCell ref="C31:C36"/>
    <mergeCell ref="D31:D36"/>
    <mergeCell ref="A26:A30"/>
    <mergeCell ref="C26:C30"/>
    <mergeCell ref="D26:D30"/>
    <mergeCell ref="B26:B30"/>
    <mergeCell ref="B31:B36"/>
    <mergeCell ref="I31:I36"/>
    <mergeCell ref="J31:J36"/>
    <mergeCell ref="K31:K36"/>
    <mergeCell ref="P31:P36"/>
    <mergeCell ref="I26:I30"/>
    <mergeCell ref="J26:J30"/>
    <mergeCell ref="K26:K30"/>
    <mergeCell ref="P26:P30"/>
    <mergeCell ref="O26:O30"/>
    <mergeCell ref="O31:O36"/>
    <mergeCell ref="A43:A46"/>
    <mergeCell ref="C43:C46"/>
    <mergeCell ref="D43:D46"/>
    <mergeCell ref="A37:A42"/>
    <mergeCell ref="C37:C42"/>
    <mergeCell ref="D37:D42"/>
    <mergeCell ref="B37:B42"/>
    <mergeCell ref="B43:B46"/>
    <mergeCell ref="P43:P46"/>
    <mergeCell ref="I37:I42"/>
    <mergeCell ref="J37:J42"/>
    <mergeCell ref="K37:K42"/>
    <mergeCell ref="O37:O42"/>
    <mergeCell ref="P37:P42"/>
    <mergeCell ref="I43:I46"/>
    <mergeCell ref="J43:J46"/>
    <mergeCell ref="K43:K46"/>
    <mergeCell ref="O43:O46"/>
    <mergeCell ref="A52:A57"/>
    <mergeCell ref="C52:C57"/>
    <mergeCell ref="D52:D57"/>
    <mergeCell ref="A47:A51"/>
    <mergeCell ref="C47:C51"/>
    <mergeCell ref="D47:D51"/>
    <mergeCell ref="B47:B51"/>
    <mergeCell ref="B52:B57"/>
    <mergeCell ref="L58:M58"/>
    <mergeCell ref="I52:I57"/>
    <mergeCell ref="J52:J57"/>
    <mergeCell ref="K52:K57"/>
    <mergeCell ref="O52:O57"/>
    <mergeCell ref="P52:P57"/>
    <mergeCell ref="I47:I51"/>
    <mergeCell ref="J47:J51"/>
    <mergeCell ref="K47:K51"/>
    <mergeCell ref="O47:O51"/>
    <mergeCell ref="P47:P51"/>
  </mergeCells>
  <phoneticPr fontId="34" type="noConversion"/>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E276CE2E-3F84-42EE-AE9F-84263EB35B60}">
          <x14:formula1>
            <xm:f>'Response Guidlines'!$D$81:$D$87</xm:f>
          </x14:formula1>
          <xm:sqref>I26:I57 I12:I16</xm:sqref>
        </x14:dataValidation>
        <x14:dataValidation type="list" allowBlank="1" showInputMessage="1" showErrorMessage="1" xr:uid="{D348A752-AE9F-4B9A-B0C2-FE733DDC29D5}">
          <x14:formula1>
            <xm:f>'Response Guidlines'!$C$195:$C$197</xm:f>
          </x14:formula1>
          <xm:sqref>F12:F57 M12:M57</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FFED0-338C-4027-BC9D-2239DE8B0959}">
  <sheetPr>
    <tabColor rgb="FF0DB02B"/>
    <pageSetUpPr fitToPage="1"/>
  </sheetPr>
  <dimension ref="A1:O83"/>
  <sheetViews>
    <sheetView topLeftCell="C22" zoomScaleNormal="100" workbookViewId="0">
      <selection activeCell="M31" sqref="M31:M32"/>
    </sheetView>
  </sheetViews>
  <sheetFormatPr defaultColWidth="9.26953125" defaultRowHeight="10.5" x14ac:dyDescent="0.25"/>
  <cols>
    <col min="1" max="1" width="5.26953125" style="19" customWidth="1"/>
    <col min="2" max="2" width="12.7265625" style="19" customWidth="1"/>
    <col min="3" max="3" width="41.7265625" style="18" customWidth="1"/>
    <col min="4" max="4" width="44.26953125" style="18" customWidth="1"/>
    <col min="5" max="5" width="15.7265625" style="18" bestFit="1" customWidth="1"/>
    <col min="6" max="6" width="22.54296875" style="18" customWidth="1"/>
    <col min="7" max="7" width="19.7265625" style="18" bestFit="1" customWidth="1"/>
    <col min="8" max="8" width="11" style="18" bestFit="1" customWidth="1"/>
    <col min="9" max="9" width="5.7265625" style="18" bestFit="1" customWidth="1"/>
    <col min="10" max="10" width="13" style="17" bestFit="1" customWidth="1"/>
    <col min="11" max="11" width="31.26953125" style="16" customWidth="1"/>
    <col min="12" max="12" width="9.54296875" style="15" customWidth="1"/>
    <col min="13" max="13" width="7.26953125" style="13" customWidth="1"/>
    <col min="14" max="14" width="28.453125" style="14" customWidth="1"/>
    <col min="15" max="15" width="20.7265625" style="13" customWidth="1"/>
    <col min="16" max="16384" width="9.26953125" style="13"/>
  </cols>
  <sheetData>
    <row r="1" spans="1:14" x14ac:dyDescent="0.25">
      <c r="C1" s="76"/>
      <c r="D1" s="76"/>
      <c r="E1" s="76"/>
      <c r="F1" s="76"/>
      <c r="G1" s="76"/>
      <c r="H1" s="76"/>
      <c r="I1" s="76"/>
    </row>
    <row r="2" spans="1:14" ht="15.5" x14ac:dyDescent="0.35">
      <c r="C2" s="11" t="s">
        <v>51</v>
      </c>
      <c r="D2" s="12" t="str">
        <f>'Scoring Summary'!C2</f>
        <v>&lt;insert before tender publication&gt;</v>
      </c>
      <c r="E2" s="46"/>
      <c r="F2" s="390" t="s">
        <v>344</v>
      </c>
      <c r="G2" s="390"/>
      <c r="H2" s="390"/>
      <c r="I2" s="46"/>
      <c r="J2" s="46"/>
      <c r="K2" s="46"/>
      <c r="L2" s="46"/>
      <c r="M2" s="46"/>
      <c r="N2" s="46"/>
    </row>
    <row r="3" spans="1:14" ht="28" x14ac:dyDescent="0.35">
      <c r="C3" s="11" t="s">
        <v>54</v>
      </c>
      <c r="D3" s="116" t="str">
        <f>'Scoring Summary'!C3</f>
        <v>IT00641 Dx Commercial Energy Trader (Dx CET)</v>
      </c>
      <c r="E3" s="46"/>
      <c r="F3" s="390"/>
      <c r="G3" s="390"/>
      <c r="H3" s="390"/>
      <c r="I3" s="46"/>
      <c r="J3" s="46"/>
      <c r="K3" s="46"/>
      <c r="L3" s="46"/>
      <c r="M3" s="46"/>
      <c r="N3" s="46"/>
    </row>
    <row r="4" spans="1:14" ht="15.5" x14ac:dyDescent="0.35">
      <c r="C4" s="11" t="s">
        <v>55</v>
      </c>
      <c r="D4" s="346">
        <f>'Scoring Summary'!C4</f>
        <v>0.7</v>
      </c>
      <c r="E4" s="46"/>
      <c r="F4" s="390"/>
      <c r="G4" s="390"/>
      <c r="H4" s="390"/>
      <c r="I4" s="46"/>
      <c r="J4" s="46"/>
      <c r="K4" s="46"/>
      <c r="L4" s="46"/>
      <c r="M4" s="46"/>
      <c r="N4" s="46"/>
    </row>
    <row r="5" spans="1:14" ht="15.5" x14ac:dyDescent="0.35">
      <c r="C5" s="11" t="s">
        <v>84</v>
      </c>
      <c r="D5" s="10" t="str">
        <f>'Scoring Summary'!C5</f>
        <v>&lt;Evaluator to complete&gt;</v>
      </c>
      <c r="E5" s="46"/>
      <c r="F5" s="75"/>
      <c r="G5" s="75"/>
      <c r="H5" s="75"/>
      <c r="I5" s="46"/>
      <c r="J5" s="46"/>
      <c r="K5" s="46"/>
      <c r="L5" s="46"/>
      <c r="M5" s="46"/>
      <c r="N5" s="46"/>
    </row>
    <row r="6" spans="1:14" ht="15.5" x14ac:dyDescent="0.35">
      <c r="C6" s="11" t="s">
        <v>58</v>
      </c>
      <c r="D6" s="10" t="str">
        <f>'Scoring Summary'!C6</f>
        <v>&lt;Evaluator to complete&gt;</v>
      </c>
      <c r="E6" s="46"/>
      <c r="F6" s="46"/>
      <c r="G6" s="46"/>
      <c r="H6" s="46"/>
      <c r="I6" s="46"/>
      <c r="J6" s="46"/>
      <c r="K6" s="46"/>
      <c r="L6" s="46"/>
      <c r="M6" s="46"/>
      <c r="N6" s="46"/>
    </row>
    <row r="7" spans="1:14" ht="15.5" x14ac:dyDescent="0.35">
      <c r="C7" s="11" t="s">
        <v>59</v>
      </c>
      <c r="D7" s="10" t="str">
        <f>'Scoring Summary'!C7</f>
        <v>&lt;Evaluator to complete&gt;</v>
      </c>
      <c r="E7" s="46"/>
      <c r="F7" s="46"/>
      <c r="G7" s="46"/>
      <c r="H7" s="46"/>
      <c r="I7" s="46"/>
      <c r="J7" s="46"/>
      <c r="K7" s="46"/>
      <c r="L7" s="46"/>
      <c r="M7" s="46"/>
      <c r="N7" s="46"/>
    </row>
    <row r="8" spans="1:14" ht="14" x14ac:dyDescent="0.3">
      <c r="C8" s="11" t="s">
        <v>60</v>
      </c>
      <c r="D8" s="10"/>
      <c r="E8" s="466" t="s">
        <v>1277</v>
      </c>
      <c r="F8" s="467"/>
      <c r="G8" s="468"/>
      <c r="H8" s="318"/>
      <c r="I8" s="318"/>
      <c r="J8" s="318"/>
      <c r="K8" s="318"/>
      <c r="L8" s="318"/>
      <c r="M8" s="318"/>
      <c r="N8" s="318"/>
    </row>
    <row r="9" spans="1:14" ht="13.5" thickBot="1" x14ac:dyDescent="0.35">
      <c r="C9" s="30"/>
      <c r="D9" s="30"/>
      <c r="E9" s="469"/>
      <c r="F9" s="470"/>
      <c r="G9" s="471"/>
      <c r="H9" s="319"/>
      <c r="I9" s="319"/>
      <c r="J9" s="320"/>
      <c r="K9" s="472" t="s">
        <v>1276</v>
      </c>
      <c r="L9" s="472"/>
      <c r="M9" s="472"/>
      <c r="N9" s="472"/>
    </row>
    <row r="10" spans="1:14" x14ac:dyDescent="0.2">
      <c r="A10" s="447" t="s">
        <v>85</v>
      </c>
      <c r="B10" s="527" t="s">
        <v>86</v>
      </c>
      <c r="C10" s="503"/>
      <c r="D10" s="528"/>
      <c r="E10" s="504" t="s">
        <v>87</v>
      </c>
      <c r="F10" s="505"/>
      <c r="G10" s="506"/>
      <c r="H10" s="74"/>
      <c r="I10" s="74"/>
      <c r="J10" s="73" t="s">
        <v>88</v>
      </c>
      <c r="K10" s="72"/>
      <c r="L10" s="72"/>
      <c r="M10" s="72"/>
      <c r="N10" s="71"/>
    </row>
    <row r="11" spans="1:14" s="49" customFormat="1" ht="58.15" customHeight="1" thickBot="1" x14ac:dyDescent="0.4">
      <c r="A11" s="448"/>
      <c r="B11" s="256" t="s">
        <v>168</v>
      </c>
      <c r="C11" s="70" t="s">
        <v>89</v>
      </c>
      <c r="D11" s="69" t="s">
        <v>62</v>
      </c>
      <c r="E11" s="104" t="s">
        <v>1291</v>
      </c>
      <c r="F11" s="105" t="s">
        <v>64</v>
      </c>
      <c r="G11" s="106" t="s">
        <v>91</v>
      </c>
      <c r="H11" s="80" t="s">
        <v>92</v>
      </c>
      <c r="I11" s="107" t="s">
        <v>93</v>
      </c>
      <c r="J11" s="108" t="s">
        <v>94</v>
      </c>
      <c r="K11" s="140" t="s">
        <v>95</v>
      </c>
      <c r="L11" s="141" t="s">
        <v>96</v>
      </c>
      <c r="M11" s="142" t="s">
        <v>67</v>
      </c>
      <c r="N11" s="143" t="s">
        <v>68</v>
      </c>
    </row>
    <row r="12" spans="1:14" s="49" customFormat="1" ht="31.5" x14ac:dyDescent="0.35">
      <c r="A12" s="497" t="s">
        <v>345</v>
      </c>
      <c r="B12" s="605" t="s">
        <v>346</v>
      </c>
      <c r="C12" s="606" t="s">
        <v>347</v>
      </c>
      <c r="D12" s="607" t="s">
        <v>348</v>
      </c>
      <c r="E12" s="608"/>
      <c r="F12" s="606" t="s">
        <v>99</v>
      </c>
      <c r="G12" s="456"/>
      <c r="H12" s="598" t="s">
        <v>27</v>
      </c>
      <c r="I12" s="493">
        <f>IF(H12='Response Guidlines'!$D$81,'Response Guidlines'!$C$81, IF(H12='Response Guidlines'!$D$82,'Response Guidlines'!$C$82,IF(H12='Response Guidlines'!$D$83,'Response Guidlines'!$C$83,IF(H12='Response Guidlines'!$D$84,'Response Guidlines'!$C$84,IF(H12='Response Guidlines'!$D$85,'Response Guidlines'!$C$85,IF(H12='Response Guidlines'!$D$86,'Response Guidlines'!$C$86,IF(H12='Response Guidlines'!$D$87,'Response Guidlines'!$C$87,"No Rating")))))))</f>
        <v>4</v>
      </c>
      <c r="J12" s="601">
        <f>(I12/$I$83)/_xlfn.XLOOKUP('Scoring Summary'!$D$21,'Response Guidlines'!$D$92:$D$191,'Response Guidlines'!$C$92:$C$191,"",0,1)</f>
        <v>6.7796610169490847E-3</v>
      </c>
      <c r="K12" s="278" t="s">
        <v>164</v>
      </c>
      <c r="L12" s="306"/>
      <c r="M12" s="604">
        <v>0</v>
      </c>
      <c r="N12" s="627"/>
    </row>
    <row r="13" spans="1:14" s="49" customFormat="1" ht="30.5" x14ac:dyDescent="0.35">
      <c r="A13" s="405"/>
      <c r="B13" s="600"/>
      <c r="C13" s="412"/>
      <c r="D13" s="414"/>
      <c r="E13" s="609"/>
      <c r="F13" s="412"/>
      <c r="G13" s="409"/>
      <c r="H13" s="521"/>
      <c r="I13" s="418"/>
      <c r="J13" s="602"/>
      <c r="K13" s="52" t="s">
        <v>349</v>
      </c>
      <c r="L13" s="275">
        <f>$J$12/5</f>
        <v>1.3559322033898169E-3</v>
      </c>
      <c r="M13" s="403"/>
      <c r="N13" s="610"/>
    </row>
    <row r="14" spans="1:14" s="49" customFormat="1" ht="20.5" x14ac:dyDescent="0.35">
      <c r="A14" s="405"/>
      <c r="B14" s="600"/>
      <c r="C14" s="412"/>
      <c r="D14" s="414"/>
      <c r="E14" s="609"/>
      <c r="F14" s="412"/>
      <c r="G14" s="409"/>
      <c r="H14" s="521"/>
      <c r="I14" s="418"/>
      <c r="J14" s="602"/>
      <c r="K14" s="52" t="s">
        <v>350</v>
      </c>
      <c r="L14" s="275">
        <f t="shared" ref="L14:L17" si="0">$J$12/5</f>
        <v>1.3559322033898169E-3</v>
      </c>
      <c r="M14" s="403"/>
      <c r="N14" s="610"/>
    </row>
    <row r="15" spans="1:14" s="49" customFormat="1" ht="30.5" x14ac:dyDescent="0.35">
      <c r="A15" s="405"/>
      <c r="B15" s="600"/>
      <c r="C15" s="412"/>
      <c r="D15" s="414"/>
      <c r="E15" s="609"/>
      <c r="F15" s="412"/>
      <c r="G15" s="409"/>
      <c r="H15" s="521"/>
      <c r="I15" s="418"/>
      <c r="J15" s="602"/>
      <c r="K15" s="52" t="s">
        <v>351</v>
      </c>
      <c r="L15" s="275">
        <f t="shared" si="0"/>
        <v>1.3559322033898169E-3</v>
      </c>
      <c r="M15" s="403"/>
      <c r="N15" s="610"/>
    </row>
    <row r="16" spans="1:14" s="49" customFormat="1" ht="20.5" x14ac:dyDescent="0.35">
      <c r="A16" s="405"/>
      <c r="B16" s="600"/>
      <c r="C16" s="412"/>
      <c r="D16" s="414"/>
      <c r="E16" s="609"/>
      <c r="F16" s="412"/>
      <c r="G16" s="409"/>
      <c r="H16" s="521"/>
      <c r="I16" s="418"/>
      <c r="J16" s="602"/>
      <c r="K16" s="52" t="s">
        <v>352</v>
      </c>
      <c r="L16" s="275">
        <f t="shared" si="0"/>
        <v>1.3559322033898169E-3</v>
      </c>
      <c r="M16" s="403"/>
      <c r="N16" s="610"/>
    </row>
    <row r="17" spans="1:14" s="49" customFormat="1" ht="20.5" x14ac:dyDescent="0.35">
      <c r="A17" s="405"/>
      <c r="B17" s="600"/>
      <c r="C17" s="412"/>
      <c r="D17" s="414"/>
      <c r="E17" s="609"/>
      <c r="F17" s="412"/>
      <c r="G17" s="409"/>
      <c r="H17" s="521"/>
      <c r="I17" s="418"/>
      <c r="J17" s="602"/>
      <c r="K17" s="52" t="s">
        <v>353</v>
      </c>
      <c r="L17" s="275">
        <f t="shared" si="0"/>
        <v>1.3559322033898169E-3</v>
      </c>
      <c r="M17" s="403"/>
      <c r="N17" s="610"/>
    </row>
    <row r="18" spans="1:14" s="49" customFormat="1" ht="31.5" x14ac:dyDescent="0.35">
      <c r="A18" s="405" t="s">
        <v>354</v>
      </c>
      <c r="B18" s="600" t="s">
        <v>346</v>
      </c>
      <c r="C18" s="412" t="s">
        <v>355</v>
      </c>
      <c r="D18" s="404" t="s">
        <v>356</v>
      </c>
      <c r="E18" s="612"/>
      <c r="F18" s="613"/>
      <c r="G18" s="599"/>
      <c r="H18" s="521" t="s">
        <v>27</v>
      </c>
      <c r="I18" s="418">
        <f>IF(H18='Response Guidlines'!$D$81,'Response Guidlines'!$C$81, IF(H18='Response Guidlines'!$D$82,'Response Guidlines'!$C$82,IF(H18='Response Guidlines'!$D$83,'Response Guidlines'!$C$83,IF(H18='Response Guidlines'!$D$84,'Response Guidlines'!$C$84,IF(H18='Response Guidlines'!$D$85,'Response Guidlines'!$C$85,IF(H18='Response Guidlines'!$D$86,'Response Guidlines'!$C$86,IF(H18='Response Guidlines'!$D$87,'Response Guidlines'!$C$87,"No Rating")))))))</f>
        <v>4</v>
      </c>
      <c r="J18" s="602">
        <f>(I18/$I$83)/_xlfn.XLOOKUP('Scoring Summary'!$D$21,'Response Guidlines'!$D$92:$D$191,'Response Guidlines'!$C$92:$C$191,"",0,1)</f>
        <v>6.7796610169490847E-3</v>
      </c>
      <c r="K18" s="272" t="s">
        <v>164</v>
      </c>
      <c r="L18" s="275"/>
      <c r="M18" s="403">
        <v>0</v>
      </c>
      <c r="N18" s="610"/>
    </row>
    <row r="19" spans="1:14" s="49" customFormat="1" ht="30" x14ac:dyDescent="0.35">
      <c r="A19" s="405"/>
      <c r="B19" s="600"/>
      <c r="C19" s="412"/>
      <c r="D19" s="404"/>
      <c r="E19" s="612"/>
      <c r="F19" s="613"/>
      <c r="G19" s="599"/>
      <c r="H19" s="521"/>
      <c r="I19" s="418"/>
      <c r="J19" s="602"/>
      <c r="K19" s="52" t="s">
        <v>357</v>
      </c>
      <c r="L19" s="275">
        <f>$J$18/3</f>
        <v>2.259887005649695E-3</v>
      </c>
      <c r="M19" s="403"/>
      <c r="N19" s="610"/>
    </row>
    <row r="20" spans="1:14" s="49" customFormat="1" ht="20" x14ac:dyDescent="0.35">
      <c r="A20" s="405"/>
      <c r="B20" s="600"/>
      <c r="C20" s="412"/>
      <c r="D20" s="404"/>
      <c r="E20" s="612"/>
      <c r="F20" s="613"/>
      <c r="G20" s="599"/>
      <c r="H20" s="521"/>
      <c r="I20" s="418"/>
      <c r="J20" s="602"/>
      <c r="K20" s="52" t="s">
        <v>358</v>
      </c>
      <c r="L20" s="275">
        <f t="shared" ref="L20:L21" si="1">$J$18/3</f>
        <v>2.259887005649695E-3</v>
      </c>
      <c r="M20" s="403"/>
      <c r="N20" s="610"/>
    </row>
    <row r="21" spans="1:14" s="49" customFormat="1" ht="26.25" customHeight="1" x14ac:dyDescent="0.35">
      <c r="A21" s="405"/>
      <c r="B21" s="600"/>
      <c r="C21" s="412"/>
      <c r="D21" s="404"/>
      <c r="E21" s="612"/>
      <c r="F21" s="613"/>
      <c r="G21" s="599"/>
      <c r="H21" s="521"/>
      <c r="I21" s="418"/>
      <c r="J21" s="602"/>
      <c r="K21" s="52" t="s">
        <v>359</v>
      </c>
      <c r="L21" s="275">
        <f t="shared" si="1"/>
        <v>2.259887005649695E-3</v>
      </c>
      <c r="M21" s="403"/>
      <c r="N21" s="610"/>
    </row>
    <row r="22" spans="1:14" s="49" customFormat="1" ht="31.5" x14ac:dyDescent="0.35">
      <c r="A22" s="405" t="s">
        <v>360</v>
      </c>
      <c r="B22" s="600" t="s">
        <v>346</v>
      </c>
      <c r="C22" s="446" t="s">
        <v>361</v>
      </c>
      <c r="D22" s="414" t="s">
        <v>362</v>
      </c>
      <c r="E22" s="614"/>
      <c r="F22" s="603"/>
      <c r="G22" s="623"/>
      <c r="H22" s="521" t="s">
        <v>26</v>
      </c>
      <c r="I22" s="418">
        <f>IF(H22='Response Guidlines'!$D$81,'Response Guidlines'!$C$81, IF(H22='Response Guidlines'!$D$82,'Response Guidlines'!$C$82,IF(H22='Response Guidlines'!$D$83,'Response Guidlines'!$C$83,IF(H22='Response Guidlines'!$D$84,'Response Guidlines'!$C$84,IF(H22='Response Guidlines'!$D$85,'Response Guidlines'!$C$85,IF(H22='Response Guidlines'!$D$86,'Response Guidlines'!$C$86,IF(H22='Response Guidlines'!$D$87,'Response Guidlines'!$C$87,"No Rating")))))))</f>
        <v>3</v>
      </c>
      <c r="J22" s="602">
        <f>(I22/$I$83)/_xlfn.XLOOKUP('Scoring Summary'!$D$21,'Response Guidlines'!$D$92:$D$191,'Response Guidlines'!$C$92:$C$191,"",0,1)</f>
        <v>5.0847457627118137E-3</v>
      </c>
      <c r="K22" s="272" t="s">
        <v>164</v>
      </c>
      <c r="L22" s="275"/>
      <c r="M22" s="403">
        <v>0</v>
      </c>
      <c r="N22" s="611"/>
    </row>
    <row r="23" spans="1:14" s="49" customFormat="1" ht="20" x14ac:dyDescent="0.35">
      <c r="A23" s="405"/>
      <c r="B23" s="600"/>
      <c r="C23" s="444"/>
      <c r="D23" s="414"/>
      <c r="E23" s="614"/>
      <c r="F23" s="603"/>
      <c r="G23" s="623"/>
      <c r="H23" s="521"/>
      <c r="I23" s="418"/>
      <c r="J23" s="602"/>
      <c r="K23" s="52" t="s">
        <v>363</v>
      </c>
      <c r="L23" s="275">
        <f t="shared" ref="L23:L25" si="2">J$22/5</f>
        <v>1.0169491525423627E-3</v>
      </c>
      <c r="M23" s="403"/>
      <c r="N23" s="611"/>
    </row>
    <row r="24" spans="1:14" s="49" customFormat="1" ht="20" x14ac:dyDescent="0.35">
      <c r="A24" s="405"/>
      <c r="B24" s="600"/>
      <c r="C24" s="444"/>
      <c r="D24" s="414"/>
      <c r="E24" s="614"/>
      <c r="F24" s="603"/>
      <c r="G24" s="623"/>
      <c r="H24" s="521"/>
      <c r="I24" s="418"/>
      <c r="J24" s="602"/>
      <c r="K24" s="52" t="s">
        <v>364</v>
      </c>
      <c r="L24" s="275">
        <f t="shared" si="2"/>
        <v>1.0169491525423627E-3</v>
      </c>
      <c r="M24" s="403"/>
      <c r="N24" s="611"/>
    </row>
    <row r="25" spans="1:14" s="49" customFormat="1" ht="20" x14ac:dyDescent="0.35">
      <c r="A25" s="405"/>
      <c r="B25" s="600"/>
      <c r="C25" s="444"/>
      <c r="D25" s="414"/>
      <c r="E25" s="614"/>
      <c r="F25" s="603"/>
      <c r="G25" s="623"/>
      <c r="H25" s="521"/>
      <c r="I25" s="418"/>
      <c r="J25" s="602"/>
      <c r="K25" s="52" t="s">
        <v>365</v>
      </c>
      <c r="L25" s="275">
        <f t="shared" si="2"/>
        <v>1.0169491525423627E-3</v>
      </c>
      <c r="M25" s="403"/>
      <c r="N25" s="611"/>
    </row>
    <row r="26" spans="1:14" s="49" customFormat="1" ht="31.5" x14ac:dyDescent="0.35">
      <c r="A26" s="405" t="s">
        <v>366</v>
      </c>
      <c r="B26" s="600" t="s">
        <v>346</v>
      </c>
      <c r="C26" s="412" t="s">
        <v>367</v>
      </c>
      <c r="D26" s="404" t="s">
        <v>368</v>
      </c>
      <c r="E26" s="609"/>
      <c r="F26" s="412"/>
      <c r="G26" s="409"/>
      <c r="H26" s="521" t="s">
        <v>27</v>
      </c>
      <c r="I26" s="418">
        <f>IF(H26='Response Guidlines'!$D$81,'Response Guidlines'!$C$81, IF(H26='Response Guidlines'!$D$82,'Response Guidlines'!$C$82,IF(H26='Response Guidlines'!$D$83,'Response Guidlines'!$C$83,IF(H26='Response Guidlines'!$D$84,'Response Guidlines'!$C$84,IF(H26='Response Guidlines'!$D$85,'Response Guidlines'!$C$85,IF(H26='Response Guidlines'!$D$86,'Response Guidlines'!$C$86,IF(H26='Response Guidlines'!$D$87,'Response Guidlines'!$C$87,"No Rating")))))))</f>
        <v>4</v>
      </c>
      <c r="J26" s="602">
        <f>(I26/$I$83)/_xlfn.XLOOKUP('Scoring Summary'!$D$21,'Response Guidlines'!$D$92:$D$191,'Response Guidlines'!$C$92:$C$191,"",0,1)</f>
        <v>6.7796610169490847E-3</v>
      </c>
      <c r="K26" s="272" t="s">
        <v>164</v>
      </c>
      <c r="L26" s="275"/>
      <c r="M26" s="403">
        <v>0</v>
      </c>
      <c r="N26" s="610"/>
    </row>
    <row r="27" spans="1:14" s="49" customFormat="1" ht="20" x14ac:dyDescent="0.35">
      <c r="A27" s="405"/>
      <c r="B27" s="600"/>
      <c r="C27" s="412"/>
      <c r="D27" s="404"/>
      <c r="E27" s="609"/>
      <c r="F27" s="412"/>
      <c r="G27" s="409"/>
      <c r="H27" s="521"/>
      <c r="I27" s="418"/>
      <c r="J27" s="602"/>
      <c r="K27" s="52" t="s">
        <v>369</v>
      </c>
      <c r="L27" s="275">
        <f>J$26/2</f>
        <v>3.3898305084745423E-3</v>
      </c>
      <c r="M27" s="403"/>
      <c r="N27" s="610"/>
    </row>
    <row r="28" spans="1:14" s="49" customFormat="1" ht="20" x14ac:dyDescent="0.35">
      <c r="A28" s="405"/>
      <c r="B28" s="600"/>
      <c r="C28" s="412"/>
      <c r="D28" s="404"/>
      <c r="E28" s="609"/>
      <c r="F28" s="412"/>
      <c r="G28" s="409"/>
      <c r="H28" s="521"/>
      <c r="I28" s="418"/>
      <c r="J28" s="602"/>
      <c r="K28" s="52" t="s">
        <v>370</v>
      </c>
      <c r="L28" s="275">
        <f>J$26/2</f>
        <v>3.3898305084745423E-3</v>
      </c>
      <c r="M28" s="403"/>
      <c r="N28" s="610"/>
    </row>
    <row r="29" spans="1:14" s="49" customFormat="1" ht="20" x14ac:dyDescent="0.35">
      <c r="A29" s="405" t="s">
        <v>371</v>
      </c>
      <c r="B29" s="600" t="s">
        <v>346</v>
      </c>
      <c r="C29" s="412" t="s">
        <v>372</v>
      </c>
      <c r="D29" s="414" t="s">
        <v>373</v>
      </c>
      <c r="E29" s="615"/>
      <c r="F29" s="412"/>
      <c r="G29" s="409"/>
      <c r="H29" s="521" t="s">
        <v>26</v>
      </c>
      <c r="I29" s="418">
        <f>IF(H29='Response Guidlines'!$D$81,'Response Guidlines'!$C$81, IF(H29='Response Guidlines'!$D$82,'Response Guidlines'!$C$82,IF(H29='Response Guidlines'!$D$83,'Response Guidlines'!$C$83,IF(H29='Response Guidlines'!$D$84,'Response Guidlines'!$C$84,IF(H29='Response Guidlines'!$D$85,'Response Guidlines'!$C$85,IF(H29='Response Guidlines'!$D$86,'Response Guidlines'!$C$86,IF(H29='Response Guidlines'!$D$87,'Response Guidlines'!$C$87,"No Rating")))))))</f>
        <v>3</v>
      </c>
      <c r="J29" s="602">
        <f>(I29/$I$83)/_xlfn.XLOOKUP('Scoring Summary'!$D$21,'Response Guidlines'!$D$92:$D$191,'Response Guidlines'!$C$92:$C$191,"",0,1)</f>
        <v>5.0847457627118137E-3</v>
      </c>
      <c r="K29" s="52" t="s">
        <v>374</v>
      </c>
      <c r="L29" s="275">
        <f>J29</f>
        <v>5.0847457627118137E-3</v>
      </c>
      <c r="M29" s="403"/>
      <c r="N29" s="610"/>
    </row>
    <row r="30" spans="1:14" s="49" customFormat="1" ht="45" customHeight="1" x14ac:dyDescent="0.35">
      <c r="A30" s="405"/>
      <c r="B30" s="600"/>
      <c r="C30" s="412"/>
      <c r="D30" s="414"/>
      <c r="E30" s="609"/>
      <c r="F30" s="412"/>
      <c r="G30" s="409"/>
      <c r="H30" s="521"/>
      <c r="I30" s="418"/>
      <c r="J30" s="602"/>
      <c r="K30" s="52" t="s">
        <v>375</v>
      </c>
      <c r="L30" s="275">
        <v>0</v>
      </c>
      <c r="M30" s="403"/>
      <c r="N30" s="610"/>
    </row>
    <row r="31" spans="1:14" s="49" customFormat="1" ht="30" x14ac:dyDescent="0.35">
      <c r="A31" s="405" t="s">
        <v>376</v>
      </c>
      <c r="B31" s="600" t="s">
        <v>346</v>
      </c>
      <c r="C31" s="412" t="s">
        <v>377</v>
      </c>
      <c r="D31" s="414" t="s">
        <v>378</v>
      </c>
      <c r="E31" s="609"/>
      <c r="F31" s="412"/>
      <c r="G31" s="409"/>
      <c r="H31" s="521" t="s">
        <v>26</v>
      </c>
      <c r="I31" s="418">
        <f>IF(H31='Response Guidlines'!$D$81,'Response Guidlines'!$C$81, IF(H31='Response Guidlines'!$D$82,'Response Guidlines'!$C$82,IF(H31='Response Guidlines'!$D$83,'Response Guidlines'!$C$83,IF(H31='Response Guidlines'!$D$84,'Response Guidlines'!$C$84,IF(H31='Response Guidlines'!$D$85,'Response Guidlines'!$C$85,IF(H31='Response Guidlines'!$D$86,'Response Guidlines'!$C$86,IF(H31='Response Guidlines'!$D$87,'Response Guidlines'!$C$87,"No Rating")))))))</f>
        <v>3</v>
      </c>
      <c r="J31" s="602">
        <f>(I31/$I$83)/_xlfn.XLOOKUP('Scoring Summary'!$D$21,'Response Guidlines'!$D$92:$D$191,'Response Guidlines'!$C$92:$C$191,"",0,1)</f>
        <v>5.0847457627118137E-3</v>
      </c>
      <c r="K31" s="52" t="s">
        <v>379</v>
      </c>
      <c r="L31" s="275">
        <f>J31</f>
        <v>5.0847457627118137E-3</v>
      </c>
      <c r="M31" s="403">
        <v>0</v>
      </c>
      <c r="N31" s="404"/>
    </row>
    <row r="32" spans="1:14" s="49" customFormat="1" ht="56.25" customHeight="1" x14ac:dyDescent="0.35">
      <c r="A32" s="405"/>
      <c r="B32" s="600"/>
      <c r="C32" s="412"/>
      <c r="D32" s="414"/>
      <c r="E32" s="609"/>
      <c r="F32" s="412"/>
      <c r="G32" s="409"/>
      <c r="H32" s="521"/>
      <c r="I32" s="418"/>
      <c r="J32" s="602"/>
      <c r="K32" s="52" t="s">
        <v>380</v>
      </c>
      <c r="L32" s="275">
        <v>0</v>
      </c>
      <c r="M32" s="403"/>
      <c r="N32" s="404"/>
    </row>
    <row r="33" spans="1:14" s="49" customFormat="1" ht="10" x14ac:dyDescent="0.35">
      <c r="A33" s="405" t="s">
        <v>381</v>
      </c>
      <c r="B33" s="600" t="s">
        <v>346</v>
      </c>
      <c r="C33" s="412" t="s">
        <v>382</v>
      </c>
      <c r="D33" s="414" t="s">
        <v>383</v>
      </c>
      <c r="E33" s="615"/>
      <c r="F33" s="412"/>
      <c r="G33" s="409"/>
      <c r="H33" s="521" t="s">
        <v>26</v>
      </c>
      <c r="I33" s="418">
        <f>IF(H33='Response Guidlines'!$D$81,'Response Guidlines'!$C$81, IF(H33='Response Guidlines'!$D$82,'Response Guidlines'!$C$82,IF(H33='Response Guidlines'!$D$83,'Response Guidlines'!$C$83,IF(H33='Response Guidlines'!$D$84,'Response Guidlines'!$C$84,IF(H33='Response Guidlines'!$D$85,'Response Guidlines'!$C$85,IF(H33='Response Guidlines'!$D$86,'Response Guidlines'!$C$86,IF(H33='Response Guidlines'!$D$87,'Response Guidlines'!$C$87,"No Rating")))))))</f>
        <v>3</v>
      </c>
      <c r="J33" s="602">
        <f>(I33/$I$83)/_xlfn.XLOOKUP('Scoring Summary'!$D$21,'Response Guidlines'!$D$92:$D$191,'Response Guidlines'!$C$92:$C$191,"",0,1)</f>
        <v>5.0847457627118137E-3</v>
      </c>
      <c r="K33" s="52" t="s">
        <v>384</v>
      </c>
      <c r="L33" s="275">
        <f>J33</f>
        <v>5.0847457627118137E-3</v>
      </c>
      <c r="M33" s="403">
        <v>0</v>
      </c>
      <c r="N33" s="404"/>
    </row>
    <row r="34" spans="1:14" s="49" customFormat="1" ht="10" x14ac:dyDescent="0.35">
      <c r="A34" s="405"/>
      <c r="B34" s="600"/>
      <c r="C34" s="412"/>
      <c r="D34" s="414"/>
      <c r="E34" s="609"/>
      <c r="F34" s="412"/>
      <c r="G34" s="409"/>
      <c r="H34" s="521"/>
      <c r="I34" s="418"/>
      <c r="J34" s="602"/>
      <c r="K34" s="52" t="s">
        <v>385</v>
      </c>
      <c r="L34" s="275">
        <f>L33*0.5</f>
        <v>2.5423728813559069E-3</v>
      </c>
      <c r="M34" s="403"/>
      <c r="N34" s="404"/>
    </row>
    <row r="35" spans="1:14" s="49" customFormat="1" ht="28.5" customHeight="1" x14ac:dyDescent="0.35">
      <c r="A35" s="405"/>
      <c r="B35" s="600"/>
      <c r="C35" s="412"/>
      <c r="D35" s="414"/>
      <c r="E35" s="609"/>
      <c r="F35" s="412"/>
      <c r="G35" s="409"/>
      <c r="H35" s="521"/>
      <c r="I35" s="418"/>
      <c r="J35" s="602"/>
      <c r="K35" s="52" t="s">
        <v>386</v>
      </c>
      <c r="L35" s="275">
        <v>0</v>
      </c>
      <c r="M35" s="403"/>
      <c r="N35" s="404"/>
    </row>
    <row r="36" spans="1:14" s="49" customFormat="1" ht="35.25" customHeight="1" x14ac:dyDescent="0.35">
      <c r="A36" s="405" t="s">
        <v>387</v>
      </c>
      <c r="B36" s="600" t="s">
        <v>346</v>
      </c>
      <c r="C36" s="412" t="s">
        <v>388</v>
      </c>
      <c r="D36" s="414" t="s">
        <v>389</v>
      </c>
      <c r="E36" s="615"/>
      <c r="F36" s="412"/>
      <c r="G36" s="409"/>
      <c r="H36" s="521" t="s">
        <v>26</v>
      </c>
      <c r="I36" s="418">
        <f>IF(H36='Response Guidlines'!$D$81,'Response Guidlines'!$C$81, IF(H36='Response Guidlines'!$D$82,'Response Guidlines'!$C$82,IF(H36='Response Guidlines'!$D$83,'Response Guidlines'!$C$83,IF(H36='Response Guidlines'!$D$84,'Response Guidlines'!$C$84,IF(H36='Response Guidlines'!$D$85,'Response Guidlines'!$C$85,IF(H36='Response Guidlines'!$D$86,'Response Guidlines'!$C$86,IF(H36='Response Guidlines'!$D$87,'Response Guidlines'!$C$87,"No Rating")))))))</f>
        <v>3</v>
      </c>
      <c r="J36" s="602">
        <f>(I36/$I$83)/_xlfn.XLOOKUP('Scoring Summary'!$D$21,'Response Guidlines'!$D$92:$D$191,'Response Guidlines'!$C$92:$C$191,"",0,1)</f>
        <v>5.0847457627118137E-3</v>
      </c>
      <c r="K36" s="52" t="s">
        <v>390</v>
      </c>
      <c r="L36" s="275">
        <f>J36</f>
        <v>5.0847457627118137E-3</v>
      </c>
      <c r="M36" s="403">
        <v>0</v>
      </c>
      <c r="N36" s="404"/>
    </row>
    <row r="37" spans="1:14" s="49" customFormat="1" ht="104.25" customHeight="1" x14ac:dyDescent="0.35">
      <c r="A37" s="405"/>
      <c r="B37" s="600"/>
      <c r="C37" s="412"/>
      <c r="D37" s="414"/>
      <c r="E37" s="609"/>
      <c r="F37" s="412"/>
      <c r="G37" s="409"/>
      <c r="H37" s="521"/>
      <c r="I37" s="418"/>
      <c r="J37" s="602"/>
      <c r="K37" s="52" t="s">
        <v>391</v>
      </c>
      <c r="L37" s="275">
        <v>0</v>
      </c>
      <c r="M37" s="403"/>
      <c r="N37" s="404"/>
    </row>
    <row r="38" spans="1:14" s="135" customFormat="1" ht="33.75" customHeight="1" x14ac:dyDescent="0.35">
      <c r="A38" s="619" t="s">
        <v>392</v>
      </c>
      <c r="B38" s="618" t="s">
        <v>346</v>
      </c>
      <c r="C38" s="617" t="s">
        <v>393</v>
      </c>
      <c r="D38" s="414" t="s">
        <v>394</v>
      </c>
      <c r="E38" s="612"/>
      <c r="F38" s="603"/>
      <c r="G38" s="623"/>
      <c r="H38" s="521" t="s">
        <v>26</v>
      </c>
      <c r="I38" s="418">
        <f>IF(H38='Response Guidlines'!$D$81,'Response Guidlines'!$C$81, IF(H38='Response Guidlines'!$D$82,'Response Guidlines'!$C$82,IF(H38='Response Guidlines'!$D$83,'Response Guidlines'!$C$83,IF(H38='Response Guidlines'!$D$84,'Response Guidlines'!$C$84,IF(H38='Response Guidlines'!$D$85,'Response Guidlines'!$C$85,IF(H38='Response Guidlines'!$D$86,'Response Guidlines'!$C$86,IF(H38='Response Guidlines'!$D$87,'Response Guidlines'!$C$87,"No Rating")))))))</f>
        <v>3</v>
      </c>
      <c r="J38" s="602">
        <f>(I38/$I$83)/_xlfn.XLOOKUP('Scoring Summary'!$D$21,'Response Guidlines'!$D$92:$D$191,'Response Guidlines'!$C$92:$C$191,"",0,1)</f>
        <v>5.0847457627118137E-3</v>
      </c>
      <c r="K38" s="272" t="s">
        <v>395</v>
      </c>
      <c r="L38" s="275"/>
      <c r="M38" s="403">
        <v>0</v>
      </c>
      <c r="N38" s="414"/>
    </row>
    <row r="39" spans="1:14" s="135" customFormat="1" ht="10" x14ac:dyDescent="0.35">
      <c r="A39" s="619"/>
      <c r="B39" s="618"/>
      <c r="C39" s="617"/>
      <c r="D39" s="414"/>
      <c r="E39" s="612"/>
      <c r="F39" s="603"/>
      <c r="G39" s="623"/>
      <c r="H39" s="521"/>
      <c r="I39" s="418"/>
      <c r="J39" s="602"/>
      <c r="K39" s="52" t="s">
        <v>396</v>
      </c>
      <c r="L39" s="275">
        <f>J$38/8</f>
        <v>6.3559322033897672E-4</v>
      </c>
      <c r="M39" s="403"/>
      <c r="N39" s="414"/>
    </row>
    <row r="40" spans="1:14" s="135" customFormat="1" ht="10" x14ac:dyDescent="0.35">
      <c r="A40" s="619"/>
      <c r="B40" s="618"/>
      <c r="C40" s="617"/>
      <c r="D40" s="414"/>
      <c r="E40" s="612"/>
      <c r="F40" s="603"/>
      <c r="G40" s="623"/>
      <c r="H40" s="521"/>
      <c r="I40" s="418"/>
      <c r="J40" s="602"/>
      <c r="K40" s="274" t="s">
        <v>397</v>
      </c>
      <c r="L40" s="275">
        <f t="shared" ref="L40:L46" si="3">J$38/8</f>
        <v>6.3559322033897672E-4</v>
      </c>
      <c r="M40" s="403"/>
      <c r="N40" s="414"/>
    </row>
    <row r="41" spans="1:14" s="135" customFormat="1" ht="10" x14ac:dyDescent="0.35">
      <c r="A41" s="619"/>
      <c r="B41" s="618"/>
      <c r="C41" s="617"/>
      <c r="D41" s="414"/>
      <c r="E41" s="612"/>
      <c r="F41" s="603"/>
      <c r="G41" s="623"/>
      <c r="H41" s="521"/>
      <c r="I41" s="418"/>
      <c r="J41" s="602"/>
      <c r="K41" s="274" t="s">
        <v>398</v>
      </c>
      <c r="L41" s="275">
        <f t="shared" si="3"/>
        <v>6.3559322033897672E-4</v>
      </c>
      <c r="M41" s="403"/>
      <c r="N41" s="414"/>
    </row>
    <row r="42" spans="1:14" s="135" customFormat="1" ht="13.5" customHeight="1" x14ac:dyDescent="0.35">
      <c r="A42" s="619"/>
      <c r="B42" s="618"/>
      <c r="C42" s="617"/>
      <c r="D42" s="414"/>
      <c r="E42" s="612"/>
      <c r="F42" s="603"/>
      <c r="G42" s="623"/>
      <c r="H42" s="521"/>
      <c r="I42" s="418"/>
      <c r="J42" s="602"/>
      <c r="K42" s="52" t="s">
        <v>399</v>
      </c>
      <c r="L42" s="275">
        <f t="shared" si="3"/>
        <v>6.3559322033897672E-4</v>
      </c>
      <c r="M42" s="403"/>
      <c r="N42" s="414"/>
    </row>
    <row r="43" spans="1:14" s="135" customFormat="1" ht="15" customHeight="1" x14ac:dyDescent="0.35">
      <c r="A43" s="619"/>
      <c r="B43" s="618"/>
      <c r="C43" s="617"/>
      <c r="D43" s="414"/>
      <c r="E43" s="612"/>
      <c r="F43" s="603"/>
      <c r="G43" s="623"/>
      <c r="H43" s="521"/>
      <c r="I43" s="418"/>
      <c r="J43" s="602"/>
      <c r="K43" s="52" t="s">
        <v>400</v>
      </c>
      <c r="L43" s="275">
        <f t="shared" si="3"/>
        <v>6.3559322033897672E-4</v>
      </c>
      <c r="M43" s="403"/>
      <c r="N43" s="414"/>
    </row>
    <row r="44" spans="1:14" s="135" customFormat="1" ht="15" customHeight="1" x14ac:dyDescent="0.35">
      <c r="A44" s="619"/>
      <c r="B44" s="618"/>
      <c r="C44" s="617"/>
      <c r="D44" s="414"/>
      <c r="E44" s="612"/>
      <c r="F44" s="603"/>
      <c r="G44" s="623"/>
      <c r="H44" s="521"/>
      <c r="I44" s="418"/>
      <c r="J44" s="602"/>
      <c r="K44" s="52" t="s">
        <v>401</v>
      </c>
      <c r="L44" s="275">
        <f t="shared" si="3"/>
        <v>6.3559322033897672E-4</v>
      </c>
      <c r="M44" s="403"/>
      <c r="N44" s="414"/>
    </row>
    <row r="45" spans="1:14" s="135" customFormat="1" ht="15" customHeight="1" x14ac:dyDescent="0.35">
      <c r="A45" s="619"/>
      <c r="B45" s="618"/>
      <c r="C45" s="617"/>
      <c r="D45" s="414"/>
      <c r="E45" s="612"/>
      <c r="F45" s="603"/>
      <c r="G45" s="623"/>
      <c r="H45" s="521"/>
      <c r="I45" s="418"/>
      <c r="J45" s="602"/>
      <c r="K45" s="52" t="s">
        <v>402</v>
      </c>
      <c r="L45" s="275">
        <f t="shared" si="3"/>
        <v>6.3559322033897672E-4</v>
      </c>
      <c r="M45" s="403"/>
      <c r="N45" s="414"/>
    </row>
    <row r="46" spans="1:14" s="135" customFormat="1" ht="102" customHeight="1" x14ac:dyDescent="0.35">
      <c r="A46" s="619"/>
      <c r="B46" s="618"/>
      <c r="C46" s="617"/>
      <c r="D46" s="414"/>
      <c r="E46" s="612"/>
      <c r="F46" s="603"/>
      <c r="G46" s="623"/>
      <c r="H46" s="521"/>
      <c r="I46" s="418"/>
      <c r="J46" s="602"/>
      <c r="K46" s="52" t="s">
        <v>403</v>
      </c>
      <c r="L46" s="275">
        <f t="shared" si="3"/>
        <v>6.3559322033897672E-4</v>
      </c>
      <c r="M46" s="403"/>
      <c r="N46" s="414"/>
    </row>
    <row r="47" spans="1:14" s="49" customFormat="1" ht="10" x14ac:dyDescent="0.35">
      <c r="A47" s="405" t="s">
        <v>404</v>
      </c>
      <c r="B47" s="600" t="s">
        <v>346</v>
      </c>
      <c r="C47" s="412" t="s">
        <v>405</v>
      </c>
      <c r="D47" s="404" t="s">
        <v>406</v>
      </c>
      <c r="E47" s="609"/>
      <c r="F47" s="412"/>
      <c r="G47" s="409"/>
      <c r="H47" s="521" t="s">
        <v>26</v>
      </c>
      <c r="I47" s="418">
        <f>IF(H47='Response Guidlines'!$D$81,'Response Guidlines'!$C$81, IF(H47='Response Guidlines'!$D$82,'Response Guidlines'!$C$82,IF(H47='Response Guidlines'!$D$83,'Response Guidlines'!$C$83,IF(H47='Response Guidlines'!$D$84,'Response Guidlines'!$C$84,IF(H47='Response Guidlines'!$D$85,'Response Guidlines'!$C$85,IF(H47='Response Guidlines'!$D$86,'Response Guidlines'!$C$86,IF(H47='Response Guidlines'!$D$87,'Response Guidlines'!$C$87,"No Rating")))))))</f>
        <v>3</v>
      </c>
      <c r="J47" s="602">
        <f>(I47/$I$83)/_xlfn.XLOOKUP('Scoring Summary'!$D$21,'Response Guidlines'!$D$92:$D$191,'Response Guidlines'!$C$92:$C$191,"",0,1)</f>
        <v>5.0847457627118137E-3</v>
      </c>
      <c r="K47" s="52" t="s">
        <v>407</v>
      </c>
      <c r="L47" s="275">
        <f>J47</f>
        <v>5.0847457627118137E-3</v>
      </c>
      <c r="M47" s="403">
        <v>0</v>
      </c>
      <c r="N47" s="404"/>
    </row>
    <row r="48" spans="1:14" s="49" customFormat="1" ht="54" customHeight="1" x14ac:dyDescent="0.35">
      <c r="A48" s="405"/>
      <c r="B48" s="600"/>
      <c r="C48" s="412"/>
      <c r="D48" s="404"/>
      <c r="E48" s="609"/>
      <c r="F48" s="412"/>
      <c r="G48" s="409"/>
      <c r="H48" s="521"/>
      <c r="I48" s="418"/>
      <c r="J48" s="602"/>
      <c r="K48" s="52" t="s">
        <v>408</v>
      </c>
      <c r="L48" s="275">
        <v>0</v>
      </c>
      <c r="M48" s="403"/>
      <c r="N48" s="404"/>
    </row>
    <row r="49" spans="1:14" s="49" customFormat="1" ht="31.5" x14ac:dyDescent="0.35">
      <c r="A49" s="405" t="s">
        <v>409</v>
      </c>
      <c r="B49" s="600" t="s">
        <v>346</v>
      </c>
      <c r="C49" s="412" t="s">
        <v>410</v>
      </c>
      <c r="D49" s="414" t="s">
        <v>411</v>
      </c>
      <c r="E49" s="620"/>
      <c r="F49" s="621"/>
      <c r="G49" s="622"/>
      <c r="H49" s="521" t="s">
        <v>26</v>
      </c>
      <c r="I49" s="418">
        <f>IF(H49='Response Guidlines'!$D$81,'Response Guidlines'!$C$81, IF(H49='Response Guidlines'!$D$82,'Response Guidlines'!$C$82,IF(H49='Response Guidlines'!$D$83,'Response Guidlines'!$C$83,IF(H49='Response Guidlines'!$D$84,'Response Guidlines'!$C$84,IF(H49='Response Guidlines'!$D$85,'Response Guidlines'!$C$85,IF(H49='Response Guidlines'!$D$86,'Response Guidlines'!$C$86,IF(H49='Response Guidlines'!$D$87,'Response Guidlines'!$C$87,"No Rating")))))))</f>
        <v>3</v>
      </c>
      <c r="J49" s="602">
        <f>(I49/$I$83)/_xlfn.XLOOKUP('Scoring Summary'!$D$21,'Response Guidlines'!$D$92:$D$191,'Response Guidlines'!$C$92:$C$191,"",0,1)</f>
        <v>5.0847457627118137E-3</v>
      </c>
      <c r="K49" s="272" t="s">
        <v>412</v>
      </c>
      <c r="L49" s="275"/>
      <c r="M49" s="403">
        <v>0</v>
      </c>
      <c r="N49" s="624"/>
    </row>
    <row r="50" spans="1:14" s="49" customFormat="1" ht="10" x14ac:dyDescent="0.35">
      <c r="A50" s="405"/>
      <c r="B50" s="600"/>
      <c r="C50" s="412"/>
      <c r="D50" s="414"/>
      <c r="E50" s="620"/>
      <c r="F50" s="621"/>
      <c r="G50" s="622"/>
      <c r="H50" s="521"/>
      <c r="I50" s="418"/>
      <c r="J50" s="602"/>
      <c r="K50" s="52" t="s">
        <v>413</v>
      </c>
      <c r="L50" s="282">
        <f>J$49/10</f>
        <v>5.0847457627118135E-4</v>
      </c>
      <c r="M50" s="403"/>
      <c r="N50" s="624"/>
    </row>
    <row r="51" spans="1:14" s="49" customFormat="1" ht="10" x14ac:dyDescent="0.35">
      <c r="A51" s="405"/>
      <c r="B51" s="600"/>
      <c r="C51" s="412"/>
      <c r="D51" s="414"/>
      <c r="E51" s="620"/>
      <c r="F51" s="621"/>
      <c r="G51" s="622"/>
      <c r="H51" s="521"/>
      <c r="I51" s="418"/>
      <c r="J51" s="602"/>
      <c r="K51" s="52" t="s">
        <v>414</v>
      </c>
      <c r="L51" s="282">
        <f t="shared" ref="L51:L59" si="4">J$49/10</f>
        <v>5.0847457627118135E-4</v>
      </c>
      <c r="M51" s="403"/>
      <c r="N51" s="624"/>
    </row>
    <row r="52" spans="1:14" s="49" customFormat="1" ht="10" x14ac:dyDescent="0.35">
      <c r="A52" s="405"/>
      <c r="B52" s="600"/>
      <c r="C52" s="412"/>
      <c r="D52" s="414"/>
      <c r="E52" s="620"/>
      <c r="F52" s="621"/>
      <c r="G52" s="622"/>
      <c r="H52" s="521"/>
      <c r="I52" s="418"/>
      <c r="J52" s="602"/>
      <c r="K52" s="52" t="s">
        <v>415</v>
      </c>
      <c r="L52" s="282">
        <f t="shared" si="4"/>
        <v>5.0847457627118135E-4</v>
      </c>
      <c r="M52" s="403"/>
      <c r="N52" s="624"/>
    </row>
    <row r="53" spans="1:14" s="49" customFormat="1" ht="15" customHeight="1" x14ac:dyDescent="0.35">
      <c r="A53" s="405"/>
      <c r="B53" s="600"/>
      <c r="C53" s="412"/>
      <c r="D53" s="414"/>
      <c r="E53" s="620"/>
      <c r="F53" s="621"/>
      <c r="G53" s="622"/>
      <c r="H53" s="521"/>
      <c r="I53" s="418"/>
      <c r="J53" s="602"/>
      <c r="K53" s="52" t="s">
        <v>416</v>
      </c>
      <c r="L53" s="282">
        <f t="shared" si="4"/>
        <v>5.0847457627118135E-4</v>
      </c>
      <c r="M53" s="403"/>
      <c r="N53" s="624"/>
    </row>
    <row r="54" spans="1:14" s="49" customFormat="1" ht="10" x14ac:dyDescent="0.35">
      <c r="A54" s="405"/>
      <c r="B54" s="600"/>
      <c r="C54" s="412"/>
      <c r="D54" s="414"/>
      <c r="E54" s="620"/>
      <c r="F54" s="621"/>
      <c r="G54" s="622"/>
      <c r="H54" s="521"/>
      <c r="I54" s="418"/>
      <c r="J54" s="602"/>
      <c r="K54" s="52" t="s">
        <v>417</v>
      </c>
      <c r="L54" s="282">
        <f t="shared" si="4"/>
        <v>5.0847457627118135E-4</v>
      </c>
      <c r="M54" s="403"/>
      <c r="N54" s="624"/>
    </row>
    <row r="55" spans="1:14" s="49" customFormat="1" ht="10" x14ac:dyDescent="0.35">
      <c r="A55" s="405"/>
      <c r="B55" s="600"/>
      <c r="C55" s="412"/>
      <c r="D55" s="414"/>
      <c r="E55" s="620"/>
      <c r="F55" s="621"/>
      <c r="G55" s="622"/>
      <c r="H55" s="521"/>
      <c r="I55" s="418"/>
      <c r="J55" s="602"/>
      <c r="K55" s="52" t="s">
        <v>418</v>
      </c>
      <c r="L55" s="282">
        <f t="shared" si="4"/>
        <v>5.0847457627118135E-4</v>
      </c>
      <c r="M55" s="403"/>
      <c r="N55" s="624"/>
    </row>
    <row r="56" spans="1:14" s="49" customFormat="1" ht="10" x14ac:dyDescent="0.35">
      <c r="A56" s="405"/>
      <c r="B56" s="600"/>
      <c r="C56" s="412"/>
      <c r="D56" s="414"/>
      <c r="E56" s="620"/>
      <c r="F56" s="621"/>
      <c r="G56" s="622"/>
      <c r="H56" s="521"/>
      <c r="I56" s="418"/>
      <c r="J56" s="602"/>
      <c r="K56" s="52" t="s">
        <v>419</v>
      </c>
      <c r="L56" s="282">
        <f t="shared" si="4"/>
        <v>5.0847457627118135E-4</v>
      </c>
      <c r="M56" s="403"/>
      <c r="N56" s="624"/>
    </row>
    <row r="57" spans="1:14" s="49" customFormat="1" ht="10" x14ac:dyDescent="0.35">
      <c r="A57" s="405"/>
      <c r="B57" s="600"/>
      <c r="C57" s="412"/>
      <c r="D57" s="414"/>
      <c r="E57" s="620"/>
      <c r="F57" s="621"/>
      <c r="G57" s="622"/>
      <c r="H57" s="521"/>
      <c r="I57" s="418"/>
      <c r="J57" s="602"/>
      <c r="K57" s="52" t="s">
        <v>420</v>
      </c>
      <c r="L57" s="282">
        <f t="shared" si="4"/>
        <v>5.0847457627118135E-4</v>
      </c>
      <c r="M57" s="403"/>
      <c r="N57" s="624"/>
    </row>
    <row r="58" spans="1:14" s="49" customFormat="1" ht="10" x14ac:dyDescent="0.35">
      <c r="A58" s="405"/>
      <c r="B58" s="600"/>
      <c r="C58" s="412"/>
      <c r="D58" s="414"/>
      <c r="E58" s="620"/>
      <c r="F58" s="621"/>
      <c r="G58" s="622"/>
      <c r="H58" s="521"/>
      <c r="I58" s="418"/>
      <c r="J58" s="602"/>
      <c r="K58" s="52" t="s">
        <v>421</v>
      </c>
      <c r="L58" s="282">
        <f t="shared" si="4"/>
        <v>5.0847457627118135E-4</v>
      </c>
      <c r="M58" s="403"/>
      <c r="N58" s="624"/>
    </row>
    <row r="59" spans="1:14" s="49" customFormat="1" ht="195.75" customHeight="1" x14ac:dyDescent="0.35">
      <c r="A59" s="405"/>
      <c r="B59" s="600"/>
      <c r="C59" s="412"/>
      <c r="D59" s="414"/>
      <c r="E59" s="620"/>
      <c r="F59" s="621"/>
      <c r="G59" s="622"/>
      <c r="H59" s="521"/>
      <c r="I59" s="418"/>
      <c r="J59" s="602"/>
      <c r="K59" s="52" t="s">
        <v>422</v>
      </c>
      <c r="L59" s="282">
        <f t="shared" si="4"/>
        <v>5.0847457627118135E-4</v>
      </c>
      <c r="M59" s="403"/>
      <c r="N59" s="624"/>
    </row>
    <row r="60" spans="1:14" s="49" customFormat="1" ht="31.5" x14ac:dyDescent="0.35">
      <c r="A60" s="405" t="s">
        <v>423</v>
      </c>
      <c r="B60" s="625" t="s">
        <v>346</v>
      </c>
      <c r="C60" s="626" t="s">
        <v>424</v>
      </c>
      <c r="D60" s="414" t="s">
        <v>425</v>
      </c>
      <c r="E60" s="616"/>
      <c r="F60" s="621"/>
      <c r="G60" s="622"/>
      <c r="H60" s="521" t="s">
        <v>28</v>
      </c>
      <c r="I60" s="418">
        <f>IF(H60='Response Guidlines'!$D$81,'Response Guidlines'!$C$81, IF(H60='Response Guidlines'!$D$82,'Response Guidlines'!$C$82,IF(H60='Response Guidlines'!$D$83,'Response Guidlines'!$C$83,IF(H60='Response Guidlines'!$D$84,'Response Guidlines'!$C$84,IF(H60='Response Guidlines'!$D$85,'Response Guidlines'!$C$85,IF(H60='Response Guidlines'!$D$86,'Response Guidlines'!$C$86,IF(H60='Response Guidlines'!$D$87,'Response Guidlines'!$C$87,"No Rating")))))))</f>
        <v>5</v>
      </c>
      <c r="J60" s="602">
        <f>(I60/$I$83)/_xlfn.XLOOKUP('Scoring Summary'!$D$21,'Response Guidlines'!$D$92:$D$191,'Response Guidlines'!$C$92:$C$191,"",0,1)</f>
        <v>8.4745762711863556E-3</v>
      </c>
      <c r="K60" s="272" t="s">
        <v>164</v>
      </c>
      <c r="L60" s="275"/>
      <c r="M60" s="403">
        <v>0</v>
      </c>
      <c r="N60" s="611"/>
    </row>
    <row r="61" spans="1:14" s="49" customFormat="1" ht="30" x14ac:dyDescent="0.35">
      <c r="A61" s="405"/>
      <c r="B61" s="625"/>
      <c r="C61" s="412"/>
      <c r="D61" s="414"/>
      <c r="E61" s="616"/>
      <c r="F61" s="621"/>
      <c r="G61" s="622"/>
      <c r="H61" s="521"/>
      <c r="I61" s="418"/>
      <c r="J61" s="602"/>
      <c r="K61" s="52" t="s">
        <v>426</v>
      </c>
      <c r="L61" s="275">
        <f>J$60/4</f>
        <v>2.1186440677965889E-3</v>
      </c>
      <c r="M61" s="403"/>
      <c r="N61" s="611"/>
    </row>
    <row r="62" spans="1:14" s="49" customFormat="1" ht="30" x14ac:dyDescent="0.35">
      <c r="A62" s="405"/>
      <c r="B62" s="625"/>
      <c r="C62" s="412"/>
      <c r="D62" s="414"/>
      <c r="E62" s="616"/>
      <c r="F62" s="621"/>
      <c r="G62" s="622"/>
      <c r="H62" s="521"/>
      <c r="I62" s="418"/>
      <c r="J62" s="602"/>
      <c r="K62" s="52" t="s">
        <v>427</v>
      </c>
      <c r="L62" s="275">
        <f t="shared" ref="L62:L64" si="5">J$60/4</f>
        <v>2.1186440677965889E-3</v>
      </c>
      <c r="M62" s="403"/>
      <c r="N62" s="611"/>
    </row>
    <row r="63" spans="1:14" s="49" customFormat="1" ht="30" x14ac:dyDescent="0.35">
      <c r="A63" s="405"/>
      <c r="B63" s="625"/>
      <c r="C63" s="412"/>
      <c r="D63" s="414"/>
      <c r="E63" s="616"/>
      <c r="F63" s="621"/>
      <c r="G63" s="622"/>
      <c r="H63" s="521"/>
      <c r="I63" s="418"/>
      <c r="J63" s="602"/>
      <c r="K63" s="52" t="s">
        <v>428</v>
      </c>
      <c r="L63" s="275">
        <f t="shared" si="5"/>
        <v>2.1186440677965889E-3</v>
      </c>
      <c r="M63" s="403"/>
      <c r="N63" s="611"/>
    </row>
    <row r="64" spans="1:14" s="49" customFormat="1" ht="36.75" customHeight="1" x14ac:dyDescent="0.35">
      <c r="A64" s="405"/>
      <c r="B64" s="625"/>
      <c r="C64" s="412"/>
      <c r="D64" s="414"/>
      <c r="E64" s="616"/>
      <c r="F64" s="621"/>
      <c r="G64" s="622"/>
      <c r="H64" s="521"/>
      <c r="I64" s="418"/>
      <c r="J64" s="602"/>
      <c r="K64" s="52" t="s">
        <v>429</v>
      </c>
      <c r="L64" s="275">
        <f t="shared" si="5"/>
        <v>2.1186440677965889E-3</v>
      </c>
      <c r="M64" s="403"/>
      <c r="N64" s="611"/>
    </row>
    <row r="65" spans="1:15" s="49" customFormat="1" ht="40" x14ac:dyDescent="0.35">
      <c r="A65" s="405" t="s">
        <v>430</v>
      </c>
      <c r="B65" s="625" t="s">
        <v>346</v>
      </c>
      <c r="C65" s="412" t="s">
        <v>431</v>
      </c>
      <c r="D65" s="414" t="s">
        <v>432</v>
      </c>
      <c r="E65" s="615"/>
      <c r="F65" s="412"/>
      <c r="G65" s="409"/>
      <c r="H65" s="521" t="s">
        <v>26</v>
      </c>
      <c r="I65" s="418">
        <f>IF(H65='Response Guidlines'!$D$81,'Response Guidlines'!$C$81, IF(H65='Response Guidlines'!$D$82,'Response Guidlines'!$C$82,IF(H65='Response Guidlines'!$D$83,'Response Guidlines'!$C$83,IF(H65='Response Guidlines'!$D$84,'Response Guidlines'!$C$84,IF(H65='Response Guidlines'!$D$85,'Response Guidlines'!$C$85,IF(H65='Response Guidlines'!$D$86,'Response Guidlines'!$C$86,IF(H65='Response Guidlines'!$D$87,'Response Guidlines'!$C$87,"No Rating")))))))</f>
        <v>3</v>
      </c>
      <c r="J65" s="602">
        <f>(I65/$I$83)/_xlfn.XLOOKUP('Scoring Summary'!$D$21,'Response Guidlines'!$D$92:$D$191,'Response Guidlines'!$C$92:$C$191,"",0,1)</f>
        <v>5.0847457627118137E-3</v>
      </c>
      <c r="K65" s="52" t="s">
        <v>433</v>
      </c>
      <c r="L65" s="275">
        <f>J65</f>
        <v>5.0847457627118137E-3</v>
      </c>
      <c r="M65" s="403">
        <v>0</v>
      </c>
      <c r="N65" s="610"/>
    </row>
    <row r="66" spans="1:15" s="49" customFormat="1" ht="84" customHeight="1" x14ac:dyDescent="0.35">
      <c r="A66" s="405"/>
      <c r="B66" s="625"/>
      <c r="C66" s="412"/>
      <c r="D66" s="414"/>
      <c r="E66" s="609"/>
      <c r="F66" s="412"/>
      <c r="G66" s="409"/>
      <c r="H66" s="521"/>
      <c r="I66" s="418"/>
      <c r="J66" s="602"/>
      <c r="K66" s="52" t="s">
        <v>434</v>
      </c>
      <c r="L66" s="275">
        <v>0</v>
      </c>
      <c r="M66" s="403"/>
      <c r="N66" s="610"/>
    </row>
    <row r="67" spans="1:15" s="49" customFormat="1" ht="31.5" x14ac:dyDescent="0.35">
      <c r="A67" s="405" t="s">
        <v>435</v>
      </c>
      <c r="B67" s="625" t="s">
        <v>436</v>
      </c>
      <c r="C67" s="412" t="s">
        <v>1306</v>
      </c>
      <c r="D67" s="414" t="s">
        <v>437</v>
      </c>
      <c r="E67" s="609"/>
      <c r="F67" s="412"/>
      <c r="G67" s="409"/>
      <c r="H67" s="521" t="s">
        <v>25</v>
      </c>
      <c r="I67" s="418">
        <f>IF(H67='Response Guidlines'!$D$81,'Response Guidlines'!$C$81, IF(H67='Response Guidlines'!$D$82,'Response Guidlines'!$C$82,IF(H67='Response Guidlines'!$D$83,'Response Guidlines'!$C$83,IF(H67='Response Guidlines'!$D$84,'Response Guidlines'!$C$84,IF(H67='Response Guidlines'!$D$85,'Response Guidlines'!$C$85,IF(H67='Response Guidlines'!$D$86,'Response Guidlines'!$C$86,IF(H67='Response Guidlines'!$D$87,'Response Guidlines'!$C$87,"No Rating")))))))</f>
        <v>2</v>
      </c>
      <c r="J67" s="602">
        <f>(I67/$I$83)/_xlfn.XLOOKUP('Scoring Summary'!$D$21,'Response Guidlines'!$D$92:$D$191,'Response Guidlines'!$C$92:$C$191,"",0,1)</f>
        <v>3.3898305084745423E-3</v>
      </c>
      <c r="K67" s="272" t="s">
        <v>164</v>
      </c>
      <c r="L67" s="275"/>
      <c r="M67" s="403">
        <v>0</v>
      </c>
      <c r="N67" s="404"/>
    </row>
    <row r="68" spans="1:15" s="49" customFormat="1" ht="20" x14ac:dyDescent="0.35">
      <c r="A68" s="405"/>
      <c r="B68" s="625"/>
      <c r="C68" s="412"/>
      <c r="D68" s="414"/>
      <c r="E68" s="609"/>
      <c r="F68" s="412"/>
      <c r="G68" s="409"/>
      <c r="H68" s="521"/>
      <c r="I68" s="418"/>
      <c r="J68" s="602"/>
      <c r="K68" s="52" t="s">
        <v>438</v>
      </c>
      <c r="L68" s="275">
        <f>J67/3</f>
        <v>1.1299435028248475E-3</v>
      </c>
      <c r="M68" s="403"/>
      <c r="N68" s="404"/>
    </row>
    <row r="69" spans="1:15" s="49" customFormat="1" ht="20" x14ac:dyDescent="0.35">
      <c r="A69" s="405"/>
      <c r="B69" s="625"/>
      <c r="C69" s="412"/>
      <c r="D69" s="414"/>
      <c r="E69" s="609"/>
      <c r="F69" s="412"/>
      <c r="G69" s="409"/>
      <c r="H69" s="521"/>
      <c r="I69" s="418"/>
      <c r="J69" s="602"/>
      <c r="K69" s="52" t="s">
        <v>439</v>
      </c>
      <c r="L69" s="275">
        <f>J67/3</f>
        <v>1.1299435028248475E-3</v>
      </c>
      <c r="M69" s="403"/>
      <c r="N69" s="404"/>
    </row>
    <row r="70" spans="1:15" s="49" customFormat="1" ht="32.25" customHeight="1" x14ac:dyDescent="0.35">
      <c r="A70" s="405"/>
      <c r="B70" s="625"/>
      <c r="C70" s="412"/>
      <c r="D70" s="414"/>
      <c r="E70" s="609"/>
      <c r="F70" s="412"/>
      <c r="G70" s="409"/>
      <c r="H70" s="521"/>
      <c r="I70" s="418"/>
      <c r="J70" s="602"/>
      <c r="K70" s="52" t="s">
        <v>440</v>
      </c>
      <c r="L70" s="275">
        <f>J67/3</f>
        <v>1.1299435028248475E-3</v>
      </c>
      <c r="M70" s="403"/>
      <c r="N70" s="404"/>
      <c r="O70" s="217"/>
    </row>
    <row r="71" spans="1:15" s="49" customFormat="1" ht="10" x14ac:dyDescent="0.35">
      <c r="A71" s="405" t="s">
        <v>441</v>
      </c>
      <c r="B71" s="600" t="s">
        <v>442</v>
      </c>
      <c r="C71" s="412" t="s">
        <v>443</v>
      </c>
      <c r="D71" s="414" t="s">
        <v>444</v>
      </c>
      <c r="E71" s="609"/>
      <c r="F71" s="412"/>
      <c r="G71" s="409"/>
      <c r="H71" s="521" t="s">
        <v>28</v>
      </c>
      <c r="I71" s="418">
        <f>IF(H71='Response Guidlines'!$D$81,'Response Guidlines'!$C$81, IF(H71='Response Guidlines'!$D$82,'Response Guidlines'!$C$82,IF(H71='Response Guidlines'!$D$83,'Response Guidlines'!$C$83,IF(H71='Response Guidlines'!$D$84,'Response Guidlines'!$C$84,IF(H71='Response Guidlines'!$D$85,'Response Guidlines'!$C$85,IF(H71='Response Guidlines'!$D$86,'Response Guidlines'!$C$86,IF(H71='Response Guidlines'!$D$87,'Response Guidlines'!$C$87,"No Rating")))))))</f>
        <v>5</v>
      </c>
      <c r="J71" s="602">
        <f>(I71/$I$83)/_xlfn.XLOOKUP('Scoring Summary'!$D$21,'Response Guidlines'!$D$92:$D$191,'Response Guidlines'!$C$92:$C$191,"",0,1)</f>
        <v>8.4745762711863556E-3</v>
      </c>
      <c r="K71" s="52" t="s">
        <v>445</v>
      </c>
      <c r="L71" s="275">
        <f>J71</f>
        <v>8.4745762711863556E-3</v>
      </c>
      <c r="M71" s="403">
        <v>0</v>
      </c>
      <c r="N71" s="610"/>
    </row>
    <row r="72" spans="1:15" s="49" customFormat="1" ht="10" x14ac:dyDescent="0.35">
      <c r="A72" s="405"/>
      <c r="B72" s="600"/>
      <c r="C72" s="412"/>
      <c r="D72" s="414"/>
      <c r="E72" s="609"/>
      <c r="F72" s="412"/>
      <c r="G72" s="409"/>
      <c r="H72" s="521"/>
      <c r="I72" s="418"/>
      <c r="J72" s="602"/>
      <c r="K72" s="52" t="s">
        <v>446</v>
      </c>
      <c r="L72" s="275">
        <f>L71*0.75</f>
        <v>6.3559322033897667E-3</v>
      </c>
      <c r="M72" s="403"/>
      <c r="N72" s="610"/>
    </row>
    <row r="73" spans="1:15" s="49" customFormat="1" ht="10" x14ac:dyDescent="0.35">
      <c r="A73" s="405"/>
      <c r="B73" s="600"/>
      <c r="C73" s="412"/>
      <c r="D73" s="414"/>
      <c r="E73" s="609"/>
      <c r="F73" s="412"/>
      <c r="G73" s="409"/>
      <c r="H73" s="521"/>
      <c r="I73" s="418"/>
      <c r="J73" s="602"/>
      <c r="K73" s="284" t="s">
        <v>447</v>
      </c>
      <c r="L73" s="275">
        <f>L71*0.5</f>
        <v>4.2372881355931778E-3</v>
      </c>
      <c r="M73" s="403"/>
      <c r="N73" s="610"/>
    </row>
    <row r="74" spans="1:15" s="49" customFormat="1" ht="72" customHeight="1" x14ac:dyDescent="0.35">
      <c r="A74" s="405"/>
      <c r="B74" s="600"/>
      <c r="C74" s="412"/>
      <c r="D74" s="414"/>
      <c r="E74" s="609"/>
      <c r="F74" s="412"/>
      <c r="G74" s="409"/>
      <c r="H74" s="521"/>
      <c r="I74" s="418"/>
      <c r="J74" s="602"/>
      <c r="K74" s="52" t="s">
        <v>448</v>
      </c>
      <c r="L74" s="275">
        <v>0</v>
      </c>
      <c r="M74" s="403"/>
      <c r="N74" s="610"/>
    </row>
    <row r="75" spans="1:15" s="49" customFormat="1" ht="20" x14ac:dyDescent="0.35">
      <c r="A75" s="405" t="s">
        <v>1284</v>
      </c>
      <c r="B75" s="600" t="s">
        <v>1287</v>
      </c>
      <c r="C75" s="412" t="s">
        <v>1311</v>
      </c>
      <c r="D75" s="414" t="s">
        <v>1312</v>
      </c>
      <c r="E75" s="615"/>
      <c r="F75" s="412"/>
      <c r="G75" s="409"/>
      <c r="H75" s="521" t="s">
        <v>27</v>
      </c>
      <c r="I75" s="418">
        <f>IF(H75='Response Guidlines'!$D$81,'Response Guidlines'!$C$81, IF(H75='Response Guidlines'!$D$82,'Response Guidlines'!$C$82,IF(H75='Response Guidlines'!$D$83,'Response Guidlines'!$C$83,IF(H75='Response Guidlines'!$D$84,'Response Guidlines'!$C$84,IF(H75='Response Guidlines'!$D$85,'Response Guidlines'!$C$85,IF(H75='Response Guidlines'!$D$86,'Response Guidlines'!$C$86,IF(H75='Response Guidlines'!$D$87,'Response Guidlines'!$C$87,"No Rating")))))))</f>
        <v>4</v>
      </c>
      <c r="J75" s="602">
        <f>(I75/$I$83)/_xlfn.XLOOKUP('Scoring Summary'!$D$21,'Response Guidlines'!$D$92:$D$191,'Response Guidlines'!$C$92:$C$191,"",0,1)</f>
        <v>6.7796610169490847E-3</v>
      </c>
      <c r="K75" s="336" t="s">
        <v>1307</v>
      </c>
      <c r="L75" s="275">
        <f>J75</f>
        <v>6.7796610169490847E-3</v>
      </c>
      <c r="M75" s="403">
        <v>0</v>
      </c>
      <c r="N75" s="404"/>
    </row>
    <row r="76" spans="1:15" s="49" customFormat="1" ht="20" x14ac:dyDescent="0.35">
      <c r="A76" s="405"/>
      <c r="B76" s="600"/>
      <c r="C76" s="412"/>
      <c r="D76" s="414"/>
      <c r="E76" s="609"/>
      <c r="F76" s="412"/>
      <c r="G76" s="409"/>
      <c r="H76" s="521"/>
      <c r="I76" s="418"/>
      <c r="J76" s="602"/>
      <c r="K76" s="336" t="s">
        <v>1308</v>
      </c>
      <c r="L76" s="275">
        <f>L75*0.5</f>
        <v>3.3898305084745423E-3</v>
      </c>
      <c r="M76" s="403"/>
      <c r="N76" s="404"/>
    </row>
    <row r="77" spans="1:15" s="49" customFormat="1" ht="28.5" customHeight="1" x14ac:dyDescent="0.35">
      <c r="A77" s="405"/>
      <c r="B77" s="600"/>
      <c r="C77" s="412"/>
      <c r="D77" s="414"/>
      <c r="E77" s="609"/>
      <c r="F77" s="412"/>
      <c r="G77" s="409"/>
      <c r="H77" s="521"/>
      <c r="I77" s="418"/>
      <c r="J77" s="602"/>
      <c r="K77" s="337" t="s">
        <v>1286</v>
      </c>
      <c r="L77" s="275">
        <v>0</v>
      </c>
      <c r="M77" s="403"/>
      <c r="N77" s="404"/>
    </row>
    <row r="78" spans="1:15" s="49" customFormat="1" ht="20" x14ac:dyDescent="0.35">
      <c r="A78" s="405" t="s">
        <v>1285</v>
      </c>
      <c r="B78" s="600" t="s">
        <v>1287</v>
      </c>
      <c r="C78" s="412" t="s">
        <v>1295</v>
      </c>
      <c r="D78" s="414" t="s">
        <v>1301</v>
      </c>
      <c r="E78" s="615"/>
      <c r="F78" s="412"/>
      <c r="G78" s="409"/>
      <c r="H78" s="521" t="s">
        <v>27</v>
      </c>
      <c r="I78" s="418">
        <f>IF(H78='Response Guidlines'!$D$81,'Response Guidlines'!$C$81, IF(H78='Response Guidlines'!$D$82,'Response Guidlines'!$C$82,IF(H78='Response Guidlines'!$D$83,'Response Guidlines'!$C$83,IF(H78='Response Guidlines'!$D$84,'Response Guidlines'!$C$84,IF(H78='Response Guidlines'!$D$85,'Response Guidlines'!$C$85,IF(H78='Response Guidlines'!$D$86,'Response Guidlines'!$C$86,IF(H78='Response Guidlines'!$D$87,'Response Guidlines'!$C$87,"No Rating")))))))</f>
        <v>4</v>
      </c>
      <c r="J78" s="602">
        <f>(I78/$I$83)/_xlfn.XLOOKUP('Scoring Summary'!$D$21,'Response Guidlines'!$D$92:$D$191,'Response Guidlines'!$C$92:$C$191,"",0,1)</f>
        <v>6.7796610169490847E-3</v>
      </c>
      <c r="K78" s="336" t="s">
        <v>1290</v>
      </c>
      <c r="L78" s="275">
        <f>J78</f>
        <v>6.7796610169490847E-3</v>
      </c>
      <c r="M78" s="403">
        <v>0</v>
      </c>
      <c r="N78" s="404"/>
    </row>
    <row r="79" spans="1:15" s="49" customFormat="1" ht="20" x14ac:dyDescent="0.35">
      <c r="A79" s="405"/>
      <c r="B79" s="600"/>
      <c r="C79" s="412"/>
      <c r="D79" s="414"/>
      <c r="E79" s="609"/>
      <c r="F79" s="412"/>
      <c r="G79" s="409"/>
      <c r="H79" s="521"/>
      <c r="I79" s="418"/>
      <c r="J79" s="602"/>
      <c r="K79" s="336" t="s">
        <v>1296</v>
      </c>
      <c r="L79" s="275">
        <f>L78*0.5</f>
        <v>3.3898305084745423E-3</v>
      </c>
      <c r="M79" s="403"/>
      <c r="N79" s="404"/>
    </row>
    <row r="80" spans="1:15" s="49" customFormat="1" ht="61.9" customHeight="1" thickBot="1" x14ac:dyDescent="0.4">
      <c r="A80" s="406"/>
      <c r="B80" s="628"/>
      <c r="C80" s="413"/>
      <c r="D80" s="415"/>
      <c r="E80" s="609"/>
      <c r="F80" s="412"/>
      <c r="G80" s="409"/>
      <c r="H80" s="629"/>
      <c r="I80" s="419"/>
      <c r="J80" s="630"/>
      <c r="K80" s="336" t="s">
        <v>1297</v>
      </c>
      <c r="L80" s="291">
        <v>0</v>
      </c>
      <c r="M80" s="422"/>
      <c r="N80" s="423"/>
    </row>
    <row r="81" spans="1:14" s="49" customFormat="1" ht="28.5" hidden="1" customHeight="1" x14ac:dyDescent="0.35">
      <c r="A81" s="322"/>
      <c r="B81" s="324"/>
      <c r="C81" s="325"/>
      <c r="D81" s="325"/>
      <c r="E81" s="325"/>
      <c r="F81" s="325"/>
      <c r="G81" s="325"/>
      <c r="H81" s="326"/>
      <c r="I81" s="327"/>
      <c r="J81" s="335"/>
      <c r="K81" s="16"/>
      <c r="L81" s="328"/>
      <c r="M81" s="329"/>
      <c r="N81" s="330"/>
    </row>
    <row r="82" spans="1:14" s="49" customFormat="1" ht="72" hidden="1" customHeight="1" thickBot="1" x14ac:dyDescent="0.4">
      <c r="A82" s="321"/>
      <c r="B82" s="324"/>
      <c r="C82" s="325"/>
      <c r="D82" s="325"/>
      <c r="E82" s="325"/>
      <c r="F82" s="325"/>
      <c r="G82" s="325"/>
      <c r="H82" s="326"/>
      <c r="I82" s="327"/>
      <c r="J82" s="323"/>
      <c r="K82" s="325"/>
      <c r="L82" s="328"/>
      <c r="M82" s="329"/>
      <c r="N82" s="331"/>
    </row>
    <row r="83" spans="1:14" s="49" customFormat="1" ht="16.149999999999999" customHeight="1" thickBot="1" x14ac:dyDescent="0.4">
      <c r="A83" s="332"/>
      <c r="B83" s="148"/>
      <c r="C83" s="82" t="s">
        <v>138</v>
      </c>
      <c r="D83" s="82"/>
      <c r="E83" s="82"/>
      <c r="F83" s="82"/>
      <c r="G83" s="82"/>
      <c r="H83" s="82"/>
      <c r="I83" s="145">
        <f>SUM(I12:I80)</f>
        <v>59</v>
      </c>
      <c r="J83" s="84">
        <f>SUM(J12:J80)</f>
        <v>9.9999999999998979E-2</v>
      </c>
      <c r="K83" s="478" t="s">
        <v>139</v>
      </c>
      <c r="L83" s="479"/>
      <c r="M83" s="333">
        <f>SUM(M12:M80)</f>
        <v>0</v>
      </c>
      <c r="N83" s="81"/>
    </row>
  </sheetData>
  <mergeCells count="211">
    <mergeCell ref="H78:H80"/>
    <mergeCell ref="I78:I80"/>
    <mergeCell ref="J78:J80"/>
    <mergeCell ref="M78:M80"/>
    <mergeCell ref="N78:N80"/>
    <mergeCell ref="H75:H77"/>
    <mergeCell ref="I75:I77"/>
    <mergeCell ref="M75:M77"/>
    <mergeCell ref="N75:N77"/>
    <mergeCell ref="J75:J77"/>
    <mergeCell ref="A75:A77"/>
    <mergeCell ref="B75:B77"/>
    <mergeCell ref="C75:C77"/>
    <mergeCell ref="D75:D77"/>
    <mergeCell ref="E75:E77"/>
    <mergeCell ref="F75:F77"/>
    <mergeCell ref="G75:G77"/>
    <mergeCell ref="A78:A80"/>
    <mergeCell ref="B78:B80"/>
    <mergeCell ref="C78:C80"/>
    <mergeCell ref="D78:D80"/>
    <mergeCell ref="E78:E80"/>
    <mergeCell ref="F78:F80"/>
    <mergeCell ref="G78:G80"/>
    <mergeCell ref="E8:G9"/>
    <mergeCell ref="K9:N9"/>
    <mergeCell ref="C36:C37"/>
    <mergeCell ref="D36:D37"/>
    <mergeCell ref="E36:E37"/>
    <mergeCell ref="F36:F37"/>
    <mergeCell ref="G36:G37"/>
    <mergeCell ref="H36:H37"/>
    <mergeCell ref="I36:I37"/>
    <mergeCell ref="N36:N37"/>
    <mergeCell ref="N29:N30"/>
    <mergeCell ref="N33:N35"/>
    <mergeCell ref="G22:G25"/>
    <mergeCell ref="N26:N28"/>
    <mergeCell ref="N12:N17"/>
    <mergeCell ref="A67:A70"/>
    <mergeCell ref="B67:B70"/>
    <mergeCell ref="C67:C70"/>
    <mergeCell ref="D67:D70"/>
    <mergeCell ref="E67:E70"/>
    <mergeCell ref="F67:F70"/>
    <mergeCell ref="B60:B64"/>
    <mergeCell ref="D47:D48"/>
    <mergeCell ref="E47:E48"/>
    <mergeCell ref="F47:F48"/>
    <mergeCell ref="K83:L83"/>
    <mergeCell ref="J36:J37"/>
    <mergeCell ref="M36:M37"/>
    <mergeCell ref="G71:G74"/>
    <mergeCell ref="H71:H74"/>
    <mergeCell ref="I71:I74"/>
    <mergeCell ref="J71:J74"/>
    <mergeCell ref="M71:M74"/>
    <mergeCell ref="A71:A74"/>
    <mergeCell ref="B71:B74"/>
    <mergeCell ref="C71:C74"/>
    <mergeCell ref="D71:D74"/>
    <mergeCell ref="E71:E74"/>
    <mergeCell ref="H49:H59"/>
    <mergeCell ref="I49:I59"/>
    <mergeCell ref="J49:J59"/>
    <mergeCell ref="A47:A48"/>
    <mergeCell ref="B47:B48"/>
    <mergeCell ref="F60:F64"/>
    <mergeCell ref="G60:G64"/>
    <mergeCell ref="F71:F74"/>
    <mergeCell ref="G67:G70"/>
    <mergeCell ref="H67:H70"/>
    <mergeCell ref="I67:I70"/>
    <mergeCell ref="J67:J70"/>
    <mergeCell ref="M67:M70"/>
    <mergeCell ref="N67:N70"/>
    <mergeCell ref="N71:N74"/>
    <mergeCell ref="N49:N59"/>
    <mergeCell ref="M49:M59"/>
    <mergeCell ref="A60:A64"/>
    <mergeCell ref="G65:G66"/>
    <mergeCell ref="H65:H66"/>
    <mergeCell ref="I65:I66"/>
    <mergeCell ref="J65:J66"/>
    <mergeCell ref="M65:M66"/>
    <mergeCell ref="N65:N66"/>
    <mergeCell ref="A65:A66"/>
    <mergeCell ref="B65:B66"/>
    <mergeCell ref="C65:C66"/>
    <mergeCell ref="D65:D66"/>
    <mergeCell ref="E65:E66"/>
    <mergeCell ref="F65:F66"/>
    <mergeCell ref="C60:C64"/>
    <mergeCell ref="D60:D64"/>
    <mergeCell ref="H60:H64"/>
    <mergeCell ref="I60:I64"/>
    <mergeCell ref="J60:J64"/>
    <mergeCell ref="N60:N64"/>
    <mergeCell ref="M60:M64"/>
    <mergeCell ref="E60:E64"/>
    <mergeCell ref="C49:C59"/>
    <mergeCell ref="B49:B59"/>
    <mergeCell ref="A49:A59"/>
    <mergeCell ref="D49:D59"/>
    <mergeCell ref="I38:I46"/>
    <mergeCell ref="C38:C46"/>
    <mergeCell ref="B38:B46"/>
    <mergeCell ref="A38:A46"/>
    <mergeCell ref="D38:D46"/>
    <mergeCell ref="E49:E59"/>
    <mergeCell ref="F49:F59"/>
    <mergeCell ref="G49:G59"/>
    <mergeCell ref="G47:G48"/>
    <mergeCell ref="H47:H48"/>
    <mergeCell ref="I47:I48"/>
    <mergeCell ref="E38:E46"/>
    <mergeCell ref="F38:F46"/>
    <mergeCell ref="G38:G46"/>
    <mergeCell ref="N47:N48"/>
    <mergeCell ref="H38:H46"/>
    <mergeCell ref="C47:C48"/>
    <mergeCell ref="A36:A37"/>
    <mergeCell ref="M31:M32"/>
    <mergeCell ref="M29:M30"/>
    <mergeCell ref="C26:C28"/>
    <mergeCell ref="D26:D28"/>
    <mergeCell ref="E26:E28"/>
    <mergeCell ref="F26:F28"/>
    <mergeCell ref="G26:G28"/>
    <mergeCell ref="H26:H28"/>
    <mergeCell ref="A31:A32"/>
    <mergeCell ref="B31:B32"/>
    <mergeCell ref="C31:C32"/>
    <mergeCell ref="D31:D32"/>
    <mergeCell ref="E31:E32"/>
    <mergeCell ref="F31:F32"/>
    <mergeCell ref="G31:G32"/>
    <mergeCell ref="H31:H32"/>
    <mergeCell ref="I33:I35"/>
    <mergeCell ref="A33:A35"/>
    <mergeCell ref="B33:B35"/>
    <mergeCell ref="C33:C35"/>
    <mergeCell ref="I26:I28"/>
    <mergeCell ref="J26:J28"/>
    <mergeCell ref="J47:J48"/>
    <mergeCell ref="M47:M48"/>
    <mergeCell ref="I29:I30"/>
    <mergeCell ref="J29:J30"/>
    <mergeCell ref="H33:H35"/>
    <mergeCell ref="B29:B30"/>
    <mergeCell ref="C29:C30"/>
    <mergeCell ref="D29:D30"/>
    <mergeCell ref="E29:E30"/>
    <mergeCell ref="F29:F30"/>
    <mergeCell ref="I31:I32"/>
    <mergeCell ref="J31:J32"/>
    <mergeCell ref="J33:J35"/>
    <mergeCell ref="M33:M35"/>
    <mergeCell ref="J38:J46"/>
    <mergeCell ref="M38:M46"/>
    <mergeCell ref="D33:D35"/>
    <mergeCell ref="E33:E35"/>
    <mergeCell ref="F33:F35"/>
    <mergeCell ref="G33:G35"/>
    <mergeCell ref="B36:B37"/>
    <mergeCell ref="A18:A21"/>
    <mergeCell ref="B18:B21"/>
    <mergeCell ref="C18:C21"/>
    <mergeCell ref="D18:D21"/>
    <mergeCell ref="E18:E21"/>
    <mergeCell ref="F18:F21"/>
    <mergeCell ref="I22:I25"/>
    <mergeCell ref="J22:J25"/>
    <mergeCell ref="M22:M25"/>
    <mergeCell ref="E22:E25"/>
    <mergeCell ref="B12:B17"/>
    <mergeCell ref="C12:C17"/>
    <mergeCell ref="D12:D17"/>
    <mergeCell ref="E12:E17"/>
    <mergeCell ref="F12:F17"/>
    <mergeCell ref="N31:N32"/>
    <mergeCell ref="I18:I21"/>
    <mergeCell ref="J18:J21"/>
    <mergeCell ref="M18:M21"/>
    <mergeCell ref="N18:N21"/>
    <mergeCell ref="N22:N25"/>
    <mergeCell ref="M26:M28"/>
    <mergeCell ref="N38:N46"/>
    <mergeCell ref="F2:H4"/>
    <mergeCell ref="A10:A11"/>
    <mergeCell ref="B10:D10"/>
    <mergeCell ref="E10:G10"/>
    <mergeCell ref="G12:G17"/>
    <mergeCell ref="H12:H17"/>
    <mergeCell ref="G18:G21"/>
    <mergeCell ref="H18:H21"/>
    <mergeCell ref="G29:G30"/>
    <mergeCell ref="H29:H30"/>
    <mergeCell ref="B22:B25"/>
    <mergeCell ref="A22:A25"/>
    <mergeCell ref="C22:C25"/>
    <mergeCell ref="D22:D25"/>
    <mergeCell ref="H22:H25"/>
    <mergeCell ref="A26:A28"/>
    <mergeCell ref="B26:B28"/>
    <mergeCell ref="A29:A30"/>
    <mergeCell ref="I12:I17"/>
    <mergeCell ref="J12:J17"/>
    <mergeCell ref="F22:F25"/>
    <mergeCell ref="M12:M17"/>
    <mergeCell ref="A12:A17"/>
  </mergeCells>
  <phoneticPr fontId="34" type="noConversion"/>
  <dataValidations count="21">
    <dataValidation type="list" allowBlank="1" showInputMessage="1" showErrorMessage="1" sqref="E31:E32" xr:uid="{C3927395-F714-4B57-A524-E5797A192B35}">
      <formula1>$K$31:$K$32</formula1>
    </dataValidation>
    <dataValidation type="list" allowBlank="1" showInputMessage="1" showErrorMessage="1" sqref="E33:E35 E81" xr:uid="{8320D1C9-FF80-43EC-A6AE-3B91DEDE7B1F}">
      <formula1>$K$33:$K$35</formula1>
    </dataValidation>
    <dataValidation type="list" allowBlank="1" showInputMessage="1" showErrorMessage="1" sqref="E47:E48" xr:uid="{69D8BD44-6781-4BFA-815F-F293B6EF5426}">
      <formula1>$K$47:$K$48</formula1>
    </dataValidation>
    <dataValidation type="list" allowBlank="1" showInputMessage="1" showErrorMessage="1" sqref="E71:E74 E82" xr:uid="{1C1A1746-F15A-4F79-A1AD-1AB5AFC1F344}">
      <formula1>$K$71:$K$74</formula1>
    </dataValidation>
    <dataValidation type="list" allowBlank="1" showInputMessage="1" showErrorMessage="1" sqref="E67:E70" xr:uid="{6CE28646-8B14-4B59-B828-041B6F2D2AD5}">
      <formula1>$K$67:$K$70</formula1>
    </dataValidation>
    <dataValidation type="list" allowBlank="1" showInputMessage="1" showErrorMessage="1" sqref="E36:E37" xr:uid="{1CDCCAF2-E6A8-45DF-AD43-8CCF57610584}">
      <formula1>$K$36:$K$37</formula1>
    </dataValidation>
    <dataValidation type="list" allowBlank="1" showInputMessage="1" showErrorMessage="1" sqref="E60:E64" xr:uid="{BAB44444-8378-42E3-BB1B-395D0F1D5ACA}">
      <formula1>$K$60:$K$64</formula1>
    </dataValidation>
    <dataValidation type="list" allowBlank="1" showInputMessage="1" showErrorMessage="1" sqref="M31:M32" xr:uid="{251A3B7D-4F18-47EA-AA44-C502833CC407}">
      <formula1>$L$31:$L$32</formula1>
    </dataValidation>
    <dataValidation type="list" allowBlank="1" showInputMessage="1" showErrorMessage="1" sqref="M33:M35 M81" xr:uid="{434C38B5-CB02-4051-AD57-4DBB57228FA2}">
      <formula1>$L$33:$L$35</formula1>
    </dataValidation>
    <dataValidation type="list" allowBlank="1" showInputMessage="1" showErrorMessage="1" sqref="M36:M37" xr:uid="{2E4225C8-22DD-4431-A7B7-7C96470990C3}">
      <formula1>$L$36:$L$37</formula1>
    </dataValidation>
    <dataValidation type="list" allowBlank="1" showInputMessage="1" showErrorMessage="1" sqref="M47:M48" xr:uid="{594DF5B1-5665-4759-96D4-6138A19786A8}">
      <formula1>$L$47:$L$48</formula1>
    </dataValidation>
    <dataValidation type="list" allowBlank="1" showInputMessage="1" showErrorMessage="1" sqref="M67:M70" xr:uid="{961BB152-AB76-4F64-B196-5303425CD869}">
      <formula1>$L$67:$L$70</formula1>
    </dataValidation>
    <dataValidation type="list" allowBlank="1" showInputMessage="1" showErrorMessage="1" sqref="M71:M74 M82" xr:uid="{0B8C53DD-3887-4D3D-92D5-BEED3DDA1FB4}">
      <formula1>$L$71:$L$74</formula1>
    </dataValidation>
    <dataValidation type="list" allowBlank="1" showInputMessage="1" showErrorMessage="1" sqref="E29:E30" xr:uid="{CDC7570C-34A7-4AC0-A525-B6E9F9AEFF52}">
      <formula1>$K$29:$K$30</formula1>
    </dataValidation>
    <dataValidation type="list" allowBlank="1" showInputMessage="1" showErrorMessage="1" sqref="M29:M30" xr:uid="{1BE85B22-F0E0-48D3-83C0-7C29BEDE5C7B}">
      <formula1>$L$29:$L$30</formula1>
    </dataValidation>
    <dataValidation type="list" allowBlank="1" showInputMessage="1" showErrorMessage="1" sqref="E65:E66" xr:uid="{44A2A091-752B-44A3-BC86-1151A2684DA1}">
      <formula1>$K$65:$K$66</formula1>
    </dataValidation>
    <dataValidation type="list" allowBlank="1" showInputMessage="1" showErrorMessage="1" sqref="M65:M66" xr:uid="{DE01223A-6A6F-4F59-A5A3-718F6BAE93D4}">
      <formula1>$L$65:$L$66</formula1>
    </dataValidation>
    <dataValidation type="list" allowBlank="1" showInputMessage="1" showErrorMessage="1" sqref="E75:E77" xr:uid="{CAF8D55D-4EEE-4AF0-B970-E77A0030396C}">
      <formula1>$K$75:$K$77</formula1>
    </dataValidation>
    <dataValidation type="list" allowBlank="1" showInputMessage="1" showErrorMessage="1" sqref="E78:E80" xr:uid="{2DE46E85-5AC5-411C-9B90-1D50FDD49AE0}">
      <formula1>$K$78:$K$80</formula1>
    </dataValidation>
    <dataValidation type="list" allowBlank="1" showInputMessage="1" showErrorMessage="1" sqref="M75:M77" xr:uid="{74A4DFE6-E6FF-40D7-A33B-E434C020E04F}">
      <formula1>$L$75:$L$77</formula1>
    </dataValidation>
    <dataValidation type="list" allowBlank="1" showInputMessage="1" showErrorMessage="1" sqref="M78:M80" xr:uid="{1EBDCA67-D092-4016-9F62-2FA8A4FEFFC4}">
      <formula1>$L$78:$L$80</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3E9ABC2-A977-4731-97DC-A0888D622772}">
          <x14:formula1>
            <xm:f>'Response Guidlines'!$D$81:$D$87</xm:f>
          </x14:formula1>
          <xm:sqref>H47:H49 H26:H38 H12:H22 H60 H65:H82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DA5A7-9CC2-4692-B280-B00D13D2D081}">
  <sheetPr>
    <tabColor rgb="FF003896"/>
    <pageSetUpPr fitToPage="1"/>
  </sheetPr>
  <dimension ref="A1:N65"/>
  <sheetViews>
    <sheetView zoomScale="115" zoomScaleNormal="115" workbookViewId="0">
      <pane ySplit="16" topLeftCell="A17" activePane="bottomLeft" state="frozen"/>
      <selection activeCell="A15" sqref="A15"/>
      <selection pane="bottomLeft" activeCell="H17" sqref="H17:H56"/>
    </sheetView>
  </sheetViews>
  <sheetFormatPr defaultColWidth="9.26953125" defaultRowHeight="10.5" x14ac:dyDescent="0.25"/>
  <cols>
    <col min="1" max="1" width="9.453125" style="19" customWidth="1"/>
    <col min="2" max="2" width="12.26953125" style="19" customWidth="1"/>
    <col min="3" max="3" width="66.7265625" style="18" customWidth="1"/>
    <col min="4" max="4" width="51.453125" style="18" bestFit="1" customWidth="1"/>
    <col min="5" max="5" width="22" style="18" hidden="1" customWidth="1"/>
    <col min="6" max="6" width="28.7265625" style="18" hidden="1" customWidth="1"/>
    <col min="7" max="7" width="26.26953125" style="18" hidden="1" customWidth="1"/>
    <col min="8" max="8" width="12.26953125" style="18" bestFit="1" customWidth="1"/>
    <col min="9" max="9" width="7.54296875" style="18" customWidth="1"/>
    <col min="10" max="10" width="7.26953125" style="17" customWidth="1"/>
    <col min="11" max="11" width="23.7265625" style="16" customWidth="1"/>
    <col min="12" max="12" width="5.26953125" style="15" customWidth="1"/>
    <col min="13" max="13" width="5.453125" style="13" customWidth="1"/>
    <col min="14" max="14" width="40.453125" style="14" customWidth="1"/>
    <col min="15" max="15" width="8.54296875" style="13" customWidth="1"/>
    <col min="16" max="16384" width="9.26953125" style="13"/>
  </cols>
  <sheetData>
    <row r="1" spans="1:14" ht="11" hidden="1" thickBot="1" x14ac:dyDescent="0.3">
      <c r="C1" s="76"/>
      <c r="D1" s="76"/>
      <c r="E1" s="76"/>
      <c r="F1" s="76"/>
      <c r="G1" s="76"/>
      <c r="H1" s="76"/>
      <c r="I1" s="76"/>
    </row>
    <row r="2" spans="1:14" ht="16" hidden="1" thickBot="1" x14ac:dyDescent="0.4">
      <c r="C2" s="11" t="s">
        <v>51</v>
      </c>
      <c r="D2" s="12" t="str">
        <f>'Scoring Summary'!C2</f>
        <v>&lt;insert before tender publication&gt;</v>
      </c>
      <c r="E2" s="46"/>
      <c r="F2" s="390" t="s">
        <v>140</v>
      </c>
      <c r="G2" s="390"/>
      <c r="H2" s="390"/>
      <c r="I2" s="75"/>
      <c r="J2" s="75"/>
      <c r="K2" s="46"/>
      <c r="L2" s="46"/>
      <c r="M2" s="46"/>
      <c r="N2" s="46"/>
    </row>
    <row r="3" spans="1:14" ht="16" hidden="1" thickBot="1" x14ac:dyDescent="0.4">
      <c r="C3" s="11" t="s">
        <v>54</v>
      </c>
      <c r="D3" s="12" t="str">
        <f>'Scoring Summary'!C3</f>
        <v>IT00641 Dx Commercial Energy Trader (Dx CET)</v>
      </c>
      <c r="E3" s="46"/>
      <c r="F3" s="83" t="s">
        <v>141</v>
      </c>
      <c r="G3" s="146" t="s">
        <v>167</v>
      </c>
      <c r="H3" s="75"/>
      <c r="I3" s="46"/>
      <c r="J3" s="46"/>
      <c r="K3" s="46"/>
      <c r="L3" s="46"/>
      <c r="M3" s="46"/>
      <c r="N3" s="46"/>
    </row>
    <row r="4" spans="1:14" ht="16" hidden="1" thickBot="1" x14ac:dyDescent="0.4">
      <c r="C4" s="11" t="s">
        <v>55</v>
      </c>
      <c r="D4" s="12">
        <f>'Scoring Summary'!C4</f>
        <v>0.7</v>
      </c>
      <c r="E4" s="46"/>
      <c r="F4" s="75"/>
      <c r="G4" s="75"/>
      <c r="H4" s="75"/>
      <c r="I4" s="46"/>
      <c r="J4" s="46"/>
      <c r="K4" s="46"/>
      <c r="L4" s="46"/>
      <c r="M4" s="46"/>
      <c r="N4" s="46"/>
    </row>
    <row r="5" spans="1:14" ht="16" hidden="1" thickBot="1" x14ac:dyDescent="0.4">
      <c r="C5" s="11" t="s">
        <v>84</v>
      </c>
      <c r="D5" s="10" t="str">
        <f>'Scoring Summary'!C5</f>
        <v>&lt;Evaluator to complete&gt;</v>
      </c>
      <c r="E5" s="46"/>
      <c r="F5" s="75"/>
      <c r="G5" s="75"/>
      <c r="H5" s="75"/>
      <c r="I5" s="46"/>
      <c r="J5" s="46"/>
      <c r="K5" s="46"/>
      <c r="L5" s="46"/>
      <c r="M5" s="46"/>
      <c r="N5" s="46"/>
    </row>
    <row r="6" spans="1:14" ht="16" hidden="1" thickBot="1" x14ac:dyDescent="0.4">
      <c r="C6" s="11" t="s">
        <v>58</v>
      </c>
      <c r="D6" s="10" t="str">
        <f>'Scoring Summary'!C6</f>
        <v>&lt;Evaluator to complete&gt;</v>
      </c>
      <c r="E6" s="46"/>
      <c r="F6" s="46"/>
      <c r="G6" s="46"/>
      <c r="H6" s="46"/>
      <c r="I6" s="46"/>
      <c r="J6" s="46"/>
      <c r="K6" s="46"/>
      <c r="L6" s="46"/>
      <c r="M6" s="46"/>
      <c r="N6" s="46"/>
    </row>
    <row r="7" spans="1:14" ht="16" hidden="1" thickBot="1" x14ac:dyDescent="0.4">
      <c r="C7" s="11" t="s">
        <v>59</v>
      </c>
      <c r="D7" s="10" t="str">
        <f>'Scoring Summary'!C7</f>
        <v>&lt;Evaluator to complete&gt;</v>
      </c>
      <c r="E7" s="46"/>
      <c r="F7" s="46"/>
      <c r="G7" s="46"/>
      <c r="H7" s="46"/>
      <c r="I7" s="46"/>
      <c r="J7" s="46"/>
      <c r="K7" s="46"/>
      <c r="L7" s="46"/>
      <c r="M7" s="46"/>
      <c r="N7" s="46"/>
    </row>
    <row r="8" spans="1:14" ht="16" hidden="1" thickBot="1" x14ac:dyDescent="0.4">
      <c r="C8" s="11" t="s">
        <v>60</v>
      </c>
      <c r="D8" s="10"/>
      <c r="E8" s="46"/>
      <c r="F8" s="46"/>
      <c r="G8" s="46"/>
      <c r="H8" s="46"/>
      <c r="I8" s="46"/>
      <c r="J8" s="46"/>
      <c r="K8" s="46"/>
      <c r="L8" s="46"/>
      <c r="M8" s="46"/>
      <c r="N8" s="46"/>
    </row>
    <row r="9" spans="1:14" ht="11" hidden="1" thickBot="1" x14ac:dyDescent="0.3"/>
    <row r="10" spans="1:14" ht="11" hidden="1" thickBot="1" x14ac:dyDescent="0.3"/>
    <row r="11" spans="1:14" ht="11" hidden="1" thickBot="1" x14ac:dyDescent="0.3">
      <c r="C11" s="30"/>
      <c r="D11" s="30"/>
      <c r="E11" s="30"/>
      <c r="F11" s="30"/>
      <c r="G11" s="30"/>
      <c r="H11" s="30"/>
      <c r="I11" s="30"/>
    </row>
    <row r="12" spans="1:14" ht="11" hidden="1" thickBot="1" x14ac:dyDescent="0.3"/>
    <row r="13" spans="1:14" ht="11" hidden="1" thickBot="1" x14ac:dyDescent="0.3">
      <c r="C13" s="30"/>
      <c r="D13" s="30"/>
      <c r="E13" s="30"/>
      <c r="F13" s="30"/>
      <c r="G13" s="30"/>
      <c r="H13" s="30"/>
      <c r="I13" s="30"/>
    </row>
    <row r="14" spans="1:14" ht="11" hidden="1" thickBot="1" x14ac:dyDescent="0.3">
      <c r="C14" s="30"/>
      <c r="D14" s="30"/>
      <c r="E14" s="30"/>
      <c r="F14" s="30"/>
      <c r="G14" s="30"/>
      <c r="H14" s="30"/>
      <c r="I14" s="30"/>
    </row>
    <row r="15" spans="1:14" x14ac:dyDescent="0.2">
      <c r="A15" s="447" t="s">
        <v>85</v>
      </c>
      <c r="B15" s="527" t="s">
        <v>86</v>
      </c>
      <c r="C15" s="503"/>
      <c r="D15" s="528"/>
      <c r="E15" s="504" t="s">
        <v>87</v>
      </c>
      <c r="F15" s="505"/>
      <c r="G15" s="506"/>
      <c r="H15" s="74"/>
      <c r="I15" s="74"/>
      <c r="J15" s="73" t="s">
        <v>88</v>
      </c>
      <c r="K15" s="72"/>
      <c r="L15" s="72"/>
      <c r="M15" s="72"/>
      <c r="N15" s="71"/>
    </row>
    <row r="16" spans="1:14" s="49" customFormat="1" ht="58.15" customHeight="1" thickBot="1" x14ac:dyDescent="0.4">
      <c r="A16" s="448"/>
      <c r="B16" s="149" t="s">
        <v>168</v>
      </c>
      <c r="C16" s="70" t="s">
        <v>89</v>
      </c>
      <c r="D16" s="147" t="s">
        <v>62</v>
      </c>
      <c r="E16" s="68" t="s">
        <v>90</v>
      </c>
      <c r="F16" s="67" t="s">
        <v>64</v>
      </c>
      <c r="G16" s="66" t="s">
        <v>218</v>
      </c>
      <c r="H16" s="150" t="s">
        <v>92</v>
      </c>
      <c r="I16" s="64" t="s">
        <v>93</v>
      </c>
      <c r="J16" s="63" t="s">
        <v>94</v>
      </c>
      <c r="K16" s="62" t="s">
        <v>95</v>
      </c>
      <c r="L16" s="61" t="s">
        <v>96</v>
      </c>
      <c r="M16" s="60" t="s">
        <v>67</v>
      </c>
      <c r="N16" s="59" t="s">
        <v>68</v>
      </c>
    </row>
    <row r="17" spans="1:14" s="49" customFormat="1" ht="20.5" x14ac:dyDescent="0.35">
      <c r="A17" s="510" t="s">
        <v>304</v>
      </c>
      <c r="B17" s="544" t="s">
        <v>449</v>
      </c>
      <c r="C17" s="412" t="s">
        <v>450</v>
      </c>
      <c r="D17" s="587" t="s">
        <v>451</v>
      </c>
      <c r="E17" s="514"/>
      <c r="F17" s="444" t="s">
        <v>221</v>
      </c>
      <c r="G17" s="524"/>
      <c r="H17" s="535" t="s">
        <v>27</v>
      </c>
      <c r="I17" s="537">
        <f>IF(H17='Response Guidlines'!$D$81,'Response Guidlines'!$C$81, IF(H17='Response Guidlines'!$D$82,'Response Guidlines'!$C$82,IF(H17='Response Guidlines'!$D$83,'Response Guidlines'!$C$83,IF(H17='Response Guidlines'!$D$84,'Response Guidlines'!$C$84,IF(H17='Response Guidlines'!$D$85,'Response Guidlines'!$C$85,IF(H17='Response Guidlines'!$D$86,'Response Guidlines'!$C$86,IF(H17='Response Guidlines'!$D$87,'Response Guidlines'!$C$87,"No Rating")))))))</f>
        <v>4</v>
      </c>
      <c r="J17" s="539">
        <f>(I17/$I$57)/_xlfn.XLOOKUP('Scoring Summary'!$D$20,'Response Guidlines'!$D$92:$D$191,'Response Guidlines'!$C$92:$C$191,"",0,1)</f>
        <v>2.6666666666666533E-2</v>
      </c>
      <c r="K17" s="56" t="s">
        <v>452</v>
      </c>
      <c r="L17" s="136">
        <f>J17</f>
        <v>2.6666666666666533E-2</v>
      </c>
      <c r="M17" s="541"/>
      <c r="N17" s="437"/>
    </row>
    <row r="18" spans="1:14" s="49" customFormat="1" ht="10" hidden="1" x14ac:dyDescent="0.35">
      <c r="A18" s="510"/>
      <c r="B18" s="544"/>
      <c r="C18" s="412"/>
      <c r="D18" s="569"/>
      <c r="E18" s="515"/>
      <c r="F18" s="444"/>
      <c r="G18" s="525"/>
      <c r="H18" s="536"/>
      <c r="I18" s="538"/>
      <c r="J18" s="540"/>
      <c r="K18" s="52"/>
      <c r="L18" s="138">
        <f>L17*0.75</f>
        <v>1.99999999999999E-2</v>
      </c>
      <c r="M18" s="542"/>
      <c r="N18" s="437"/>
    </row>
    <row r="19" spans="1:14" s="49" customFormat="1" ht="20" x14ac:dyDescent="0.35">
      <c r="A19" s="510"/>
      <c r="B19" s="544"/>
      <c r="C19" s="412"/>
      <c r="D19" s="569"/>
      <c r="E19" s="515"/>
      <c r="F19" s="444"/>
      <c r="G19" s="525"/>
      <c r="H19" s="536"/>
      <c r="I19" s="538"/>
      <c r="J19" s="540"/>
      <c r="K19" s="52" t="s">
        <v>453</v>
      </c>
      <c r="L19" s="138">
        <f>L17*0.5</f>
        <v>1.3333333333333267E-2</v>
      </c>
      <c r="M19" s="542"/>
      <c r="N19" s="437"/>
    </row>
    <row r="20" spans="1:14" s="49" customFormat="1" ht="10" hidden="1" x14ac:dyDescent="0.35">
      <c r="A20" s="510"/>
      <c r="B20" s="544"/>
      <c r="C20" s="412"/>
      <c r="D20" s="569"/>
      <c r="E20" s="515"/>
      <c r="F20" s="444"/>
      <c r="G20" s="525"/>
      <c r="H20" s="536"/>
      <c r="I20" s="538"/>
      <c r="J20" s="540"/>
      <c r="K20" s="52"/>
      <c r="L20" s="138">
        <f>L17*0.25</f>
        <v>6.6666666666666333E-3</v>
      </c>
      <c r="M20" s="542"/>
      <c r="N20" s="437"/>
    </row>
    <row r="21" spans="1:14" s="49" customFormat="1" ht="225.75" customHeight="1" x14ac:dyDescent="0.35">
      <c r="A21" s="511"/>
      <c r="B21" s="545"/>
      <c r="C21" s="412"/>
      <c r="D21" s="569"/>
      <c r="E21" s="516"/>
      <c r="F21" s="445"/>
      <c r="G21" s="526"/>
      <c r="H21" s="536"/>
      <c r="I21" s="538"/>
      <c r="J21" s="540"/>
      <c r="K21" s="52" t="s">
        <v>454</v>
      </c>
      <c r="L21" s="138">
        <v>0</v>
      </c>
      <c r="M21" s="543"/>
      <c r="N21" s="437"/>
    </row>
    <row r="22" spans="1:14" s="49" customFormat="1" ht="22.5" customHeight="1" x14ac:dyDescent="0.35">
      <c r="A22" s="510" t="s">
        <v>313</v>
      </c>
      <c r="B22" s="544" t="s">
        <v>455</v>
      </c>
      <c r="C22" s="412" t="s">
        <v>456</v>
      </c>
      <c r="D22" s="424" t="s">
        <v>451</v>
      </c>
      <c r="E22" s="514"/>
      <c r="F22" s="446"/>
      <c r="G22" s="524"/>
      <c r="H22" s="536" t="s">
        <v>27</v>
      </c>
      <c r="I22" s="537">
        <f>IF(H22='Response Guidlines'!$D$81,'Response Guidlines'!$C$81, IF(H22='Response Guidlines'!$D$82,'Response Guidlines'!$C$82,IF(H22='Response Guidlines'!$D$83,'Response Guidlines'!$C$83,IF(H22='Response Guidlines'!$D$84,'Response Guidlines'!$C$84,IF(H22='Response Guidlines'!$D$85,'Response Guidlines'!$C$85,IF(H22='Response Guidlines'!$D$86,'Response Guidlines'!$C$86,IF(H22='Response Guidlines'!$D$87,'Response Guidlines'!$C$87,"No Rating")))))))</f>
        <v>4</v>
      </c>
      <c r="J22" s="539">
        <f>(I22/$I$57)/_xlfn.XLOOKUP('Scoring Summary'!$D$20,'Response Guidlines'!$D$92:$D$191,'Response Guidlines'!$C$92:$C$191,"",0,1)</f>
        <v>2.6666666666666533E-2</v>
      </c>
      <c r="K22" s="56" t="s">
        <v>452</v>
      </c>
      <c r="L22" s="136">
        <f t="shared" ref="L22" si="0">J22</f>
        <v>2.6666666666666533E-2</v>
      </c>
      <c r="M22" s="543"/>
      <c r="N22" s="547"/>
    </row>
    <row r="23" spans="1:14" s="49" customFormat="1" ht="11.25" hidden="1" customHeight="1" x14ac:dyDescent="0.35">
      <c r="A23" s="510"/>
      <c r="B23" s="544"/>
      <c r="C23" s="412"/>
      <c r="D23" s="569"/>
      <c r="E23" s="515"/>
      <c r="F23" s="444"/>
      <c r="G23" s="525"/>
      <c r="H23" s="536"/>
      <c r="I23" s="538"/>
      <c r="J23" s="540"/>
      <c r="K23" s="52"/>
      <c r="L23" s="138">
        <f t="shared" ref="L23" si="1">L22*0.75</f>
        <v>1.99999999999999E-2</v>
      </c>
      <c r="M23" s="546"/>
      <c r="N23" s="484"/>
    </row>
    <row r="24" spans="1:14" s="49" customFormat="1" ht="20" x14ac:dyDescent="0.35">
      <c r="A24" s="510"/>
      <c r="B24" s="544"/>
      <c r="C24" s="412"/>
      <c r="D24" s="569"/>
      <c r="E24" s="515"/>
      <c r="F24" s="444"/>
      <c r="G24" s="525"/>
      <c r="H24" s="536"/>
      <c r="I24" s="538"/>
      <c r="J24" s="540"/>
      <c r="K24" s="52" t="s">
        <v>453</v>
      </c>
      <c r="L24" s="138">
        <f t="shared" ref="L24" si="2">L22*0.5</f>
        <v>1.3333333333333267E-2</v>
      </c>
      <c r="M24" s="546"/>
      <c r="N24" s="484"/>
    </row>
    <row r="25" spans="1:14" s="49" customFormat="1" ht="11.25" hidden="1" customHeight="1" x14ac:dyDescent="0.35">
      <c r="A25" s="510"/>
      <c r="B25" s="544"/>
      <c r="C25" s="412"/>
      <c r="D25" s="569"/>
      <c r="E25" s="515"/>
      <c r="F25" s="444"/>
      <c r="G25" s="525"/>
      <c r="H25" s="536"/>
      <c r="I25" s="538"/>
      <c r="J25" s="540"/>
      <c r="K25" s="52"/>
      <c r="L25" s="138">
        <f t="shared" ref="L25" si="3">L22*0.25</f>
        <v>6.6666666666666333E-3</v>
      </c>
      <c r="M25" s="546"/>
      <c r="N25" s="484"/>
    </row>
    <row r="26" spans="1:14" s="49" customFormat="1" ht="356.25" customHeight="1" x14ac:dyDescent="0.35">
      <c r="A26" s="511"/>
      <c r="B26" s="545"/>
      <c r="C26" s="412"/>
      <c r="D26" s="438"/>
      <c r="E26" s="516"/>
      <c r="F26" s="445"/>
      <c r="G26" s="526"/>
      <c r="H26" s="536"/>
      <c r="I26" s="538"/>
      <c r="J26" s="540"/>
      <c r="K26" s="52" t="s">
        <v>454</v>
      </c>
      <c r="L26" s="138">
        <v>0</v>
      </c>
      <c r="M26" s="546"/>
      <c r="N26" s="484"/>
    </row>
    <row r="27" spans="1:14" s="49" customFormat="1" ht="22.5" customHeight="1" x14ac:dyDescent="0.35">
      <c r="A27" s="510" t="s">
        <v>323</v>
      </c>
      <c r="B27" s="544" t="s">
        <v>457</v>
      </c>
      <c r="C27" s="412" t="s">
        <v>458</v>
      </c>
      <c r="D27" s="424" t="s">
        <v>451</v>
      </c>
      <c r="E27" s="514"/>
      <c r="F27" s="446"/>
      <c r="G27" s="524"/>
      <c r="H27" s="536" t="s">
        <v>27</v>
      </c>
      <c r="I27" s="537">
        <f>IF(H27='Response Guidlines'!$D$81,'Response Guidlines'!$C$81, IF(H27='Response Guidlines'!$D$82,'Response Guidlines'!$C$82,IF(H27='Response Guidlines'!$D$83,'Response Guidlines'!$C$83,IF(H27='Response Guidlines'!$D$84,'Response Guidlines'!$C$84,IF(H27='Response Guidlines'!$D$85,'Response Guidlines'!$C$85,IF(H27='Response Guidlines'!$D$86,'Response Guidlines'!$C$86,IF(H27='Response Guidlines'!$D$87,'Response Guidlines'!$C$87,"No Rating")))))))</f>
        <v>4</v>
      </c>
      <c r="J27" s="539">
        <f>(I27/$I$57)/_xlfn.XLOOKUP('Scoring Summary'!$D$20,'Response Guidlines'!$D$92:$D$191,'Response Guidlines'!$C$92:$C$191,"",0,1)</f>
        <v>2.6666666666666533E-2</v>
      </c>
      <c r="K27" s="56" t="s">
        <v>452</v>
      </c>
      <c r="L27" s="136">
        <f>J27</f>
        <v>2.6666666666666533E-2</v>
      </c>
      <c r="M27" s="543"/>
      <c r="N27" s="547"/>
    </row>
    <row r="28" spans="1:14" s="49" customFormat="1" ht="11.25" hidden="1" customHeight="1" x14ac:dyDescent="0.35">
      <c r="A28" s="510"/>
      <c r="B28" s="544"/>
      <c r="C28" s="412"/>
      <c r="D28" s="569"/>
      <c r="E28" s="515"/>
      <c r="F28" s="444"/>
      <c r="G28" s="525"/>
      <c r="H28" s="536"/>
      <c r="I28" s="538"/>
      <c r="J28" s="540"/>
      <c r="K28" s="52"/>
      <c r="L28" s="138">
        <f>L27*0.75</f>
        <v>1.99999999999999E-2</v>
      </c>
      <c r="M28" s="546"/>
      <c r="N28" s="484"/>
    </row>
    <row r="29" spans="1:14" s="49" customFormat="1" ht="20" x14ac:dyDescent="0.35">
      <c r="A29" s="510"/>
      <c r="B29" s="544"/>
      <c r="C29" s="412"/>
      <c r="D29" s="569"/>
      <c r="E29" s="515"/>
      <c r="F29" s="444"/>
      <c r="G29" s="525"/>
      <c r="H29" s="536"/>
      <c r="I29" s="538"/>
      <c r="J29" s="540"/>
      <c r="K29" s="52" t="s">
        <v>453</v>
      </c>
      <c r="L29" s="138">
        <f>L27*0.5</f>
        <v>1.3333333333333267E-2</v>
      </c>
      <c r="M29" s="546"/>
      <c r="N29" s="484"/>
    </row>
    <row r="30" spans="1:14" s="49" customFormat="1" ht="11.25" hidden="1" customHeight="1" x14ac:dyDescent="0.35">
      <c r="A30" s="510"/>
      <c r="B30" s="544"/>
      <c r="C30" s="412"/>
      <c r="D30" s="569"/>
      <c r="E30" s="515"/>
      <c r="F30" s="444"/>
      <c r="G30" s="525"/>
      <c r="H30" s="536"/>
      <c r="I30" s="538"/>
      <c r="J30" s="540"/>
      <c r="K30" s="52"/>
      <c r="L30" s="138">
        <f>L27*0.25</f>
        <v>6.6666666666666333E-3</v>
      </c>
      <c r="M30" s="546"/>
      <c r="N30" s="484"/>
    </row>
    <row r="31" spans="1:14" s="49" customFormat="1" ht="210.75" customHeight="1" x14ac:dyDescent="0.35">
      <c r="A31" s="511"/>
      <c r="B31" s="545"/>
      <c r="C31" s="412"/>
      <c r="D31" s="438"/>
      <c r="E31" s="516"/>
      <c r="F31" s="445"/>
      <c r="G31" s="526"/>
      <c r="H31" s="536"/>
      <c r="I31" s="538"/>
      <c r="J31" s="540"/>
      <c r="K31" s="52" t="s">
        <v>454</v>
      </c>
      <c r="L31" s="138">
        <v>0</v>
      </c>
      <c r="M31" s="546"/>
      <c r="N31" s="484"/>
    </row>
    <row r="32" spans="1:14" s="49" customFormat="1" ht="22.5" customHeight="1" x14ac:dyDescent="0.35">
      <c r="A32" s="510" t="s">
        <v>327</v>
      </c>
      <c r="B32" s="544" t="s">
        <v>459</v>
      </c>
      <c r="C32" s="412" t="s">
        <v>460</v>
      </c>
      <c r="D32" s="424" t="s">
        <v>451</v>
      </c>
      <c r="E32" s="514"/>
      <c r="F32" s="446"/>
      <c r="G32" s="524"/>
      <c r="H32" s="536" t="s">
        <v>28</v>
      </c>
      <c r="I32" s="537">
        <f>IF(H32='Response Guidlines'!$D$81,'Response Guidlines'!$C$81, IF(H32='Response Guidlines'!$D$82,'Response Guidlines'!$C$82,IF(H32='Response Guidlines'!$D$83,'Response Guidlines'!$C$83,IF(H32='Response Guidlines'!$D$84,'Response Guidlines'!$C$84,IF(H32='Response Guidlines'!$D$85,'Response Guidlines'!$C$85,IF(H32='Response Guidlines'!$D$86,'Response Guidlines'!$C$86,IF(H32='Response Guidlines'!$D$87,'Response Guidlines'!$C$87,"No Rating")))))))</f>
        <v>5</v>
      </c>
      <c r="J32" s="539">
        <f>(I32/$I$57)/_xlfn.XLOOKUP('Scoring Summary'!$D$20,'Response Guidlines'!$D$92:$D$191,'Response Guidlines'!$C$92:$C$191,"",0,1)</f>
        <v>3.3333333333333166E-2</v>
      </c>
      <c r="K32" s="56" t="s">
        <v>452</v>
      </c>
      <c r="L32" s="136">
        <f t="shared" ref="L32" si="4">J32</f>
        <v>3.3333333333333166E-2</v>
      </c>
      <c r="M32" s="546"/>
      <c r="N32" s="437"/>
    </row>
    <row r="33" spans="1:14" s="49" customFormat="1" ht="11.25" hidden="1" customHeight="1" x14ac:dyDescent="0.35">
      <c r="A33" s="510"/>
      <c r="B33" s="544"/>
      <c r="C33" s="412"/>
      <c r="D33" s="569"/>
      <c r="E33" s="515"/>
      <c r="F33" s="444"/>
      <c r="G33" s="525"/>
      <c r="H33" s="536"/>
      <c r="I33" s="538"/>
      <c r="J33" s="540"/>
      <c r="K33" s="52"/>
      <c r="L33" s="138">
        <f t="shared" ref="L33" si="5">L32*0.75</f>
        <v>2.4999999999999876E-2</v>
      </c>
      <c r="M33" s="546"/>
      <c r="N33" s="437"/>
    </row>
    <row r="34" spans="1:14" s="49" customFormat="1" ht="20" x14ac:dyDescent="0.35">
      <c r="A34" s="510"/>
      <c r="B34" s="544"/>
      <c r="C34" s="412"/>
      <c r="D34" s="569"/>
      <c r="E34" s="515"/>
      <c r="F34" s="444"/>
      <c r="G34" s="525"/>
      <c r="H34" s="536"/>
      <c r="I34" s="538"/>
      <c r="J34" s="540"/>
      <c r="K34" s="52" t="s">
        <v>453</v>
      </c>
      <c r="L34" s="138">
        <f t="shared" ref="L34" si="6">L32*0.5</f>
        <v>1.6666666666666583E-2</v>
      </c>
      <c r="M34" s="541"/>
      <c r="N34" s="550"/>
    </row>
    <row r="35" spans="1:14" s="49" customFormat="1" ht="11.25" hidden="1" customHeight="1" x14ac:dyDescent="0.35">
      <c r="A35" s="510"/>
      <c r="B35" s="544"/>
      <c r="C35" s="412"/>
      <c r="D35" s="569"/>
      <c r="E35" s="515"/>
      <c r="F35" s="444"/>
      <c r="G35" s="525"/>
      <c r="H35" s="536"/>
      <c r="I35" s="538"/>
      <c r="J35" s="540"/>
      <c r="K35" s="52"/>
      <c r="L35" s="138">
        <f t="shared" ref="L35" si="7">L32*0.25</f>
        <v>8.3333333333332916E-3</v>
      </c>
      <c r="M35" s="541"/>
      <c r="N35" s="550"/>
    </row>
    <row r="36" spans="1:14" s="49" customFormat="1" ht="90.75" customHeight="1" x14ac:dyDescent="0.35">
      <c r="A36" s="511"/>
      <c r="B36" s="545"/>
      <c r="C36" s="412"/>
      <c r="D36" s="438"/>
      <c r="E36" s="516"/>
      <c r="F36" s="445"/>
      <c r="G36" s="526"/>
      <c r="H36" s="536"/>
      <c r="I36" s="538"/>
      <c r="J36" s="540"/>
      <c r="K36" s="52" t="s">
        <v>454</v>
      </c>
      <c r="L36" s="138">
        <v>0</v>
      </c>
      <c r="M36" s="546"/>
      <c r="N36" s="437"/>
    </row>
    <row r="37" spans="1:14" s="49" customFormat="1" ht="22.5" customHeight="1" x14ac:dyDescent="0.35">
      <c r="A37" s="510" t="s">
        <v>331</v>
      </c>
      <c r="B37" s="544" t="s">
        <v>461</v>
      </c>
      <c r="C37" s="412" t="s">
        <v>462</v>
      </c>
      <c r="D37" s="424" t="s">
        <v>451</v>
      </c>
      <c r="E37" s="514"/>
      <c r="F37" s="446"/>
      <c r="G37" s="524"/>
      <c r="H37" s="536" t="s">
        <v>26</v>
      </c>
      <c r="I37" s="537">
        <f>IF(H37='Response Guidlines'!$D$81,'Response Guidlines'!$C$81, IF(H37='Response Guidlines'!$D$82,'Response Guidlines'!$C$82,IF(H37='Response Guidlines'!$D$83,'Response Guidlines'!$C$83,IF(H37='Response Guidlines'!$D$84,'Response Guidlines'!$C$84,IF(H37='Response Guidlines'!$D$85,'Response Guidlines'!$C$85,IF(H37='Response Guidlines'!$D$86,'Response Guidlines'!$C$86,IF(H37='Response Guidlines'!$D$87,'Response Guidlines'!$C$87,"No Rating")))))))</f>
        <v>3</v>
      </c>
      <c r="J37" s="539">
        <f>(I37/$I$57)/_xlfn.XLOOKUP('Scoring Summary'!$D$20,'Response Guidlines'!$D$92:$D$191,'Response Guidlines'!$C$92:$C$191,"",0,1)</f>
        <v>1.9999999999999903E-2</v>
      </c>
      <c r="K37" s="56" t="s">
        <v>452</v>
      </c>
      <c r="L37" s="136">
        <f t="shared" ref="L37" si="8">J37</f>
        <v>1.9999999999999903E-2</v>
      </c>
      <c r="M37" s="543"/>
      <c r="N37" s="551"/>
    </row>
    <row r="38" spans="1:14" s="49" customFormat="1" ht="11.25" hidden="1" customHeight="1" x14ac:dyDescent="0.35">
      <c r="A38" s="510"/>
      <c r="B38" s="544"/>
      <c r="C38" s="412"/>
      <c r="D38" s="569"/>
      <c r="E38" s="515"/>
      <c r="F38" s="444"/>
      <c r="G38" s="525"/>
      <c r="H38" s="536"/>
      <c r="I38" s="538"/>
      <c r="J38" s="540"/>
      <c r="K38" s="52"/>
      <c r="L38" s="138">
        <f t="shared" ref="L38" si="9">L37*0.75</f>
        <v>1.4999999999999927E-2</v>
      </c>
      <c r="M38" s="546"/>
      <c r="N38" s="437"/>
    </row>
    <row r="39" spans="1:14" s="49" customFormat="1" ht="20" x14ac:dyDescent="0.35">
      <c r="A39" s="510"/>
      <c r="B39" s="544"/>
      <c r="C39" s="412"/>
      <c r="D39" s="569"/>
      <c r="E39" s="515"/>
      <c r="F39" s="444"/>
      <c r="G39" s="525"/>
      <c r="H39" s="536"/>
      <c r="I39" s="538"/>
      <c r="J39" s="540"/>
      <c r="K39" s="52" t="s">
        <v>453</v>
      </c>
      <c r="L39" s="138">
        <f t="shared" ref="L39" si="10">L37*0.5</f>
        <v>9.9999999999999516E-3</v>
      </c>
      <c r="M39" s="546"/>
      <c r="N39" s="437"/>
    </row>
    <row r="40" spans="1:14" s="49" customFormat="1" ht="11.25" hidden="1" customHeight="1" x14ac:dyDescent="0.35">
      <c r="A40" s="510"/>
      <c r="B40" s="544"/>
      <c r="C40" s="412"/>
      <c r="D40" s="569"/>
      <c r="E40" s="515"/>
      <c r="F40" s="444"/>
      <c r="G40" s="525"/>
      <c r="H40" s="536"/>
      <c r="I40" s="538"/>
      <c r="J40" s="540"/>
      <c r="K40" s="52"/>
      <c r="L40" s="138">
        <f t="shared" ref="L40" si="11">L37*0.25</f>
        <v>4.9999999999999758E-3</v>
      </c>
      <c r="M40" s="546"/>
      <c r="N40" s="437"/>
    </row>
    <row r="41" spans="1:14" s="49" customFormat="1" ht="175.5" customHeight="1" x14ac:dyDescent="0.35">
      <c r="A41" s="511"/>
      <c r="B41" s="545"/>
      <c r="C41" s="412"/>
      <c r="D41" s="438"/>
      <c r="E41" s="516"/>
      <c r="F41" s="445"/>
      <c r="G41" s="526"/>
      <c r="H41" s="536"/>
      <c r="I41" s="538"/>
      <c r="J41" s="540"/>
      <c r="K41" s="52" t="s">
        <v>454</v>
      </c>
      <c r="L41" s="138">
        <v>0</v>
      </c>
      <c r="M41" s="546"/>
      <c r="N41" s="437"/>
    </row>
    <row r="42" spans="1:14" s="49" customFormat="1" ht="22.5" customHeight="1" x14ac:dyDescent="0.35">
      <c r="A42" s="510" t="s">
        <v>333</v>
      </c>
      <c r="B42" s="544" t="s">
        <v>463</v>
      </c>
      <c r="C42" s="412" t="s">
        <v>464</v>
      </c>
      <c r="D42" s="424" t="s">
        <v>451</v>
      </c>
      <c r="E42" s="514"/>
      <c r="F42" s="446"/>
      <c r="G42" s="524"/>
      <c r="H42" s="536" t="s">
        <v>26</v>
      </c>
      <c r="I42" s="537">
        <f>IF(H42='Response Guidlines'!$D$81,'Response Guidlines'!$C$81, IF(H42='Response Guidlines'!$D$82,'Response Guidlines'!$C$82,IF(H42='Response Guidlines'!$D$83,'Response Guidlines'!$C$83,IF(H42='Response Guidlines'!$D$84,'Response Guidlines'!$C$84,IF(H42='Response Guidlines'!$D$85,'Response Guidlines'!$C$85,IF(H42='Response Guidlines'!$D$86,'Response Guidlines'!$C$86,IF(H42='Response Guidlines'!$D$87,'Response Guidlines'!$C$87,"No Rating")))))))</f>
        <v>3</v>
      </c>
      <c r="J42" s="539">
        <f>(I42/$I$57)/_xlfn.XLOOKUP('Scoring Summary'!$D$20,'Response Guidlines'!$D$92:$D$191,'Response Guidlines'!$C$92:$C$191,"",0,1)</f>
        <v>1.9999999999999903E-2</v>
      </c>
      <c r="K42" s="56" t="s">
        <v>452</v>
      </c>
      <c r="L42" s="136">
        <f t="shared" ref="L42" si="12">J42</f>
        <v>1.9999999999999903E-2</v>
      </c>
      <c r="M42" s="543"/>
      <c r="N42" s="635"/>
    </row>
    <row r="43" spans="1:14" s="49" customFormat="1" ht="11.25" hidden="1" customHeight="1" x14ac:dyDescent="0.35">
      <c r="A43" s="510"/>
      <c r="B43" s="544"/>
      <c r="C43" s="412"/>
      <c r="D43" s="569"/>
      <c r="E43" s="515"/>
      <c r="F43" s="444"/>
      <c r="G43" s="525"/>
      <c r="H43" s="536"/>
      <c r="I43" s="538"/>
      <c r="J43" s="540"/>
      <c r="K43" s="52"/>
      <c r="L43" s="138">
        <f t="shared" ref="L43" si="13">L42*0.75</f>
        <v>1.4999999999999927E-2</v>
      </c>
      <c r="M43" s="546"/>
      <c r="N43" s="636"/>
    </row>
    <row r="44" spans="1:14" s="49" customFormat="1" ht="20" x14ac:dyDescent="0.35">
      <c r="A44" s="510"/>
      <c r="B44" s="544"/>
      <c r="C44" s="412"/>
      <c r="D44" s="569"/>
      <c r="E44" s="515"/>
      <c r="F44" s="444"/>
      <c r="G44" s="525"/>
      <c r="H44" s="536"/>
      <c r="I44" s="538"/>
      <c r="J44" s="540"/>
      <c r="K44" s="52" t="s">
        <v>453</v>
      </c>
      <c r="L44" s="138">
        <f t="shared" ref="L44" si="14">L42*0.5</f>
        <v>9.9999999999999516E-3</v>
      </c>
      <c r="M44" s="546"/>
      <c r="N44" s="636"/>
    </row>
    <row r="45" spans="1:14" s="49" customFormat="1" ht="11.25" hidden="1" customHeight="1" x14ac:dyDescent="0.35">
      <c r="A45" s="510"/>
      <c r="B45" s="544"/>
      <c r="C45" s="412"/>
      <c r="D45" s="569"/>
      <c r="E45" s="515"/>
      <c r="F45" s="444"/>
      <c r="G45" s="525"/>
      <c r="H45" s="536"/>
      <c r="I45" s="538"/>
      <c r="J45" s="540"/>
      <c r="K45" s="52"/>
      <c r="L45" s="138">
        <f t="shared" ref="L45" si="15">L42*0.25</f>
        <v>4.9999999999999758E-3</v>
      </c>
      <c r="M45" s="546"/>
      <c r="N45" s="636"/>
    </row>
    <row r="46" spans="1:14" s="49" customFormat="1" ht="88.5" customHeight="1" x14ac:dyDescent="0.35">
      <c r="A46" s="511"/>
      <c r="B46" s="545"/>
      <c r="C46" s="412"/>
      <c r="D46" s="438"/>
      <c r="E46" s="516"/>
      <c r="F46" s="445"/>
      <c r="G46" s="526"/>
      <c r="H46" s="536"/>
      <c r="I46" s="538"/>
      <c r="J46" s="540"/>
      <c r="K46" s="52" t="s">
        <v>454</v>
      </c>
      <c r="L46" s="138">
        <v>0</v>
      </c>
      <c r="M46" s="546"/>
      <c r="N46" s="636"/>
    </row>
    <row r="47" spans="1:14" s="49" customFormat="1" ht="22.5" customHeight="1" x14ac:dyDescent="0.35">
      <c r="A47" s="510" t="s">
        <v>337</v>
      </c>
      <c r="B47" s="631" t="s">
        <v>465</v>
      </c>
      <c r="C47" s="412" t="s">
        <v>466</v>
      </c>
      <c r="D47" s="424" t="s">
        <v>451</v>
      </c>
      <c r="E47" s="514"/>
      <c r="F47" s="446"/>
      <c r="G47" s="524"/>
      <c r="H47" s="536" t="s">
        <v>26</v>
      </c>
      <c r="I47" s="537">
        <f>IF(H47='Response Guidlines'!$D$81,'Response Guidlines'!$C$81, IF(H47='Response Guidlines'!$D$82,'Response Guidlines'!$C$82,IF(H47='Response Guidlines'!$D$83,'Response Guidlines'!$C$83,IF(H47='Response Guidlines'!$D$84,'Response Guidlines'!$C$84,IF(H47='Response Guidlines'!$D$85,'Response Guidlines'!$C$85,IF(H47='Response Guidlines'!$D$86,'Response Guidlines'!$C$86,IF(H47='Response Guidlines'!$D$87,'Response Guidlines'!$C$87,"No Rating")))))))</f>
        <v>3</v>
      </c>
      <c r="J47" s="539">
        <f>(I47/$I$57)/_xlfn.XLOOKUP('Scoring Summary'!$D$20,'Response Guidlines'!$D$92:$D$191,'Response Guidlines'!$C$92:$C$191,"",0,1)</f>
        <v>1.9999999999999903E-2</v>
      </c>
      <c r="K47" s="56" t="s">
        <v>452</v>
      </c>
      <c r="L47" s="136">
        <f t="shared" ref="L47" si="16">J47</f>
        <v>1.9999999999999903E-2</v>
      </c>
      <c r="M47" s="541"/>
      <c r="N47" s="437"/>
    </row>
    <row r="48" spans="1:14" s="49" customFormat="1" ht="11.25" hidden="1" customHeight="1" x14ac:dyDescent="0.35">
      <c r="A48" s="510"/>
      <c r="B48" s="544"/>
      <c r="C48" s="412"/>
      <c r="D48" s="569"/>
      <c r="E48" s="515"/>
      <c r="F48" s="444"/>
      <c r="G48" s="525"/>
      <c r="H48" s="536"/>
      <c r="I48" s="538"/>
      <c r="J48" s="540"/>
      <c r="K48" s="52"/>
      <c r="L48" s="138">
        <f t="shared" ref="L48" si="17">L47*0.75</f>
        <v>1.4999999999999927E-2</v>
      </c>
      <c r="M48" s="542"/>
      <c r="N48" s="437"/>
    </row>
    <row r="49" spans="1:14" s="49" customFormat="1" ht="20" x14ac:dyDescent="0.35">
      <c r="A49" s="510"/>
      <c r="B49" s="544"/>
      <c r="C49" s="412"/>
      <c r="D49" s="569"/>
      <c r="E49" s="515"/>
      <c r="F49" s="444"/>
      <c r="G49" s="525"/>
      <c r="H49" s="536"/>
      <c r="I49" s="538"/>
      <c r="J49" s="540"/>
      <c r="K49" s="52" t="s">
        <v>453</v>
      </c>
      <c r="L49" s="138">
        <f t="shared" ref="L49" si="18">L47*0.5</f>
        <v>9.9999999999999516E-3</v>
      </c>
      <c r="M49" s="542"/>
      <c r="N49" s="550"/>
    </row>
    <row r="50" spans="1:14" s="49" customFormat="1" ht="11.25" hidden="1" customHeight="1" x14ac:dyDescent="0.35">
      <c r="A50" s="510"/>
      <c r="B50" s="544"/>
      <c r="C50" s="412"/>
      <c r="D50" s="569"/>
      <c r="E50" s="515"/>
      <c r="F50" s="444"/>
      <c r="G50" s="525"/>
      <c r="H50" s="536"/>
      <c r="I50" s="538"/>
      <c r="J50" s="540"/>
      <c r="K50" s="52"/>
      <c r="L50" s="138">
        <f t="shared" ref="L50" si="19">L47*0.25</f>
        <v>4.9999999999999758E-3</v>
      </c>
      <c r="M50" s="542"/>
      <c r="N50" s="550"/>
    </row>
    <row r="51" spans="1:14" s="49" customFormat="1" ht="103.5" customHeight="1" x14ac:dyDescent="0.35">
      <c r="A51" s="511"/>
      <c r="B51" s="545"/>
      <c r="C51" s="412"/>
      <c r="D51" s="438"/>
      <c r="E51" s="516"/>
      <c r="F51" s="445"/>
      <c r="G51" s="526"/>
      <c r="H51" s="536"/>
      <c r="I51" s="538"/>
      <c r="J51" s="540"/>
      <c r="K51" s="52" t="s">
        <v>454</v>
      </c>
      <c r="L51" s="138">
        <v>0</v>
      </c>
      <c r="M51" s="543"/>
      <c r="N51" s="437"/>
    </row>
    <row r="52" spans="1:14" s="49" customFormat="1" ht="22.5" customHeight="1" x14ac:dyDescent="0.35">
      <c r="A52" s="510" t="s">
        <v>340</v>
      </c>
      <c r="B52" s="631" t="s">
        <v>467</v>
      </c>
      <c r="C52" s="412" t="s">
        <v>468</v>
      </c>
      <c r="D52" s="424" t="s">
        <v>451</v>
      </c>
      <c r="E52" s="632"/>
      <c r="F52" s="529"/>
      <c r="G52" s="532"/>
      <c r="H52" s="536" t="s">
        <v>27</v>
      </c>
      <c r="I52" s="537">
        <f>IF(H52='Response Guidlines'!$D$81,'Response Guidlines'!$C$81, IF(H52='Response Guidlines'!$D$82,'Response Guidlines'!$C$82,IF(H52='Response Guidlines'!$D$83,'Response Guidlines'!$C$83,IF(H52='Response Guidlines'!$D$84,'Response Guidlines'!$C$84,IF(H52='Response Guidlines'!$D$85,'Response Guidlines'!$C$85,IF(H52='Response Guidlines'!$D$86,'Response Guidlines'!$C$86,IF(H52='Response Guidlines'!$D$87,'Response Guidlines'!$C$87,"No Rating")))))))</f>
        <v>4</v>
      </c>
      <c r="J52" s="539">
        <f>(I52/$I$57)/_xlfn.XLOOKUP('Scoring Summary'!$D$20,'Response Guidlines'!$D$92:$D$191,'Response Guidlines'!$C$92:$C$191,"",0,1)</f>
        <v>2.6666666666666533E-2</v>
      </c>
      <c r="K52" s="56" t="s">
        <v>452</v>
      </c>
      <c r="L52" s="136">
        <f>J52</f>
        <v>2.6666666666666533E-2</v>
      </c>
      <c r="M52" s="541"/>
      <c r="N52" s="437"/>
    </row>
    <row r="53" spans="1:14" s="49" customFormat="1" ht="11.25" hidden="1" customHeight="1" x14ac:dyDescent="0.35">
      <c r="A53" s="510"/>
      <c r="B53" s="544"/>
      <c r="C53" s="412"/>
      <c r="D53" s="569"/>
      <c r="E53" s="633"/>
      <c r="F53" s="530"/>
      <c r="G53" s="533"/>
      <c r="H53" s="536"/>
      <c r="I53" s="538"/>
      <c r="J53" s="540"/>
      <c r="K53" s="52"/>
      <c r="L53" s="138">
        <f>L52*0.75</f>
        <v>1.99999999999999E-2</v>
      </c>
      <c r="M53" s="542"/>
      <c r="N53" s="437"/>
    </row>
    <row r="54" spans="1:14" s="49" customFormat="1" ht="20" x14ac:dyDescent="0.35">
      <c r="A54" s="510"/>
      <c r="B54" s="544"/>
      <c r="C54" s="412"/>
      <c r="D54" s="569"/>
      <c r="E54" s="633"/>
      <c r="F54" s="530"/>
      <c r="G54" s="533"/>
      <c r="H54" s="536"/>
      <c r="I54" s="538"/>
      <c r="J54" s="540"/>
      <c r="K54" s="52" t="s">
        <v>453</v>
      </c>
      <c r="L54" s="138">
        <f>L52*0.5</f>
        <v>1.3333333333333267E-2</v>
      </c>
      <c r="M54" s="542"/>
      <c r="N54" s="550"/>
    </row>
    <row r="55" spans="1:14" s="49" customFormat="1" ht="11.25" hidden="1" customHeight="1" x14ac:dyDescent="0.35">
      <c r="A55" s="510"/>
      <c r="B55" s="544"/>
      <c r="C55" s="412"/>
      <c r="D55" s="569"/>
      <c r="E55" s="633"/>
      <c r="F55" s="530"/>
      <c r="G55" s="533"/>
      <c r="H55" s="536"/>
      <c r="I55" s="538"/>
      <c r="J55" s="540"/>
      <c r="K55" s="52"/>
      <c r="L55" s="138">
        <f>L52*0.25</f>
        <v>6.6666666666666333E-3</v>
      </c>
      <c r="M55" s="542"/>
      <c r="N55" s="550"/>
    </row>
    <row r="56" spans="1:14" s="49" customFormat="1" ht="178.5" customHeight="1" thickBot="1" x14ac:dyDescent="0.4">
      <c r="A56" s="511"/>
      <c r="B56" s="545"/>
      <c r="C56" s="412"/>
      <c r="D56" s="438"/>
      <c r="E56" s="634"/>
      <c r="F56" s="531"/>
      <c r="G56" s="534"/>
      <c r="H56" s="536"/>
      <c r="I56" s="538"/>
      <c r="J56" s="540"/>
      <c r="K56" s="52" t="s">
        <v>454</v>
      </c>
      <c r="L56" s="138">
        <v>0</v>
      </c>
      <c r="M56" s="543"/>
      <c r="N56" s="437"/>
    </row>
    <row r="57" spans="1:14" s="49" customFormat="1" ht="16.149999999999999" customHeight="1" thickBot="1" x14ac:dyDescent="0.4">
      <c r="A57" s="144"/>
      <c r="B57" s="148"/>
      <c r="C57" s="82" t="s">
        <v>138</v>
      </c>
      <c r="D57" s="82"/>
      <c r="E57" s="82"/>
      <c r="F57" s="82"/>
      <c r="G57" s="82"/>
      <c r="H57" s="82"/>
      <c r="I57" s="145">
        <f>SUM(I17:I56)</f>
        <v>30</v>
      </c>
      <c r="J57" s="84">
        <f>SUM(J17:J56)</f>
        <v>0.19999999999999901</v>
      </c>
      <c r="K57" s="478" t="s">
        <v>139</v>
      </c>
      <c r="L57" s="479"/>
      <c r="M57" s="50">
        <f>SUM(M17:M56)</f>
        <v>0</v>
      </c>
      <c r="N57" s="81"/>
    </row>
    <row r="62" spans="1:14" s="18" customFormat="1" x14ac:dyDescent="0.25">
      <c r="A62" s="19"/>
      <c r="B62" s="19"/>
      <c r="J62" s="17"/>
      <c r="K62" s="16"/>
      <c r="L62" s="15"/>
      <c r="M62" s="13"/>
      <c r="N62" s="14"/>
    </row>
    <row r="63" spans="1:14" s="18" customFormat="1" x14ac:dyDescent="0.25">
      <c r="A63" s="19"/>
      <c r="B63" s="19"/>
      <c r="J63" s="17"/>
      <c r="K63" s="16"/>
      <c r="L63" s="15"/>
      <c r="M63" s="13"/>
      <c r="N63" s="14"/>
    </row>
    <row r="64" spans="1:14" s="18" customFormat="1" x14ac:dyDescent="0.25">
      <c r="A64" s="19"/>
      <c r="B64" s="19"/>
      <c r="J64" s="17"/>
      <c r="K64" s="16"/>
      <c r="L64" s="15"/>
      <c r="M64" s="13"/>
      <c r="N64" s="14"/>
    </row>
    <row r="65" spans="1:14" s="18" customFormat="1" x14ac:dyDescent="0.25">
      <c r="A65" s="19"/>
      <c r="B65" s="19"/>
      <c r="J65" s="17"/>
      <c r="K65" s="16"/>
      <c r="L65" s="15"/>
      <c r="M65" s="13"/>
      <c r="N65" s="14"/>
    </row>
  </sheetData>
  <autoFilter ref="A16:N57" xr:uid="{F414276A-FCF1-4F53-A083-351B022F6550}"/>
  <mergeCells count="101">
    <mergeCell ref="G17:G21"/>
    <mergeCell ref="H17:H21"/>
    <mergeCell ref="I17:I21"/>
    <mergeCell ref="J17:J21"/>
    <mergeCell ref="M17:M21"/>
    <mergeCell ref="N17:N21"/>
    <mergeCell ref="F2:H2"/>
    <mergeCell ref="A15:A16"/>
    <mergeCell ref="B15:D15"/>
    <mergeCell ref="E15:G15"/>
    <mergeCell ref="A17:A21"/>
    <mergeCell ref="B17:B21"/>
    <mergeCell ref="C17:C21"/>
    <mergeCell ref="D17:D21"/>
    <mergeCell ref="E17:E21"/>
    <mergeCell ref="F17:F21"/>
    <mergeCell ref="G22:G26"/>
    <mergeCell ref="H22:H26"/>
    <mergeCell ref="I22:I26"/>
    <mergeCell ref="J22:J26"/>
    <mergeCell ref="M22:M26"/>
    <mergeCell ref="N22:N26"/>
    <mergeCell ref="A22:A26"/>
    <mergeCell ref="B22:B26"/>
    <mergeCell ref="C22:C26"/>
    <mergeCell ref="D22:D26"/>
    <mergeCell ref="E22:E26"/>
    <mergeCell ref="F22:F26"/>
    <mergeCell ref="G27:G31"/>
    <mergeCell ref="H27:H31"/>
    <mergeCell ref="I27:I31"/>
    <mergeCell ref="J27:J31"/>
    <mergeCell ref="M27:M31"/>
    <mergeCell ref="N27:N31"/>
    <mergeCell ref="A27:A31"/>
    <mergeCell ref="B27:B31"/>
    <mergeCell ref="C27:C31"/>
    <mergeCell ref="D27:D31"/>
    <mergeCell ref="E27:E31"/>
    <mergeCell ref="F27:F31"/>
    <mergeCell ref="G32:G36"/>
    <mergeCell ref="H32:H36"/>
    <mergeCell ref="I32:I36"/>
    <mergeCell ref="J32:J36"/>
    <mergeCell ref="M32:M36"/>
    <mergeCell ref="N32:N36"/>
    <mergeCell ref="A32:A36"/>
    <mergeCell ref="B32:B36"/>
    <mergeCell ref="C32:C36"/>
    <mergeCell ref="D32:D36"/>
    <mergeCell ref="E32:E36"/>
    <mergeCell ref="F32:F36"/>
    <mergeCell ref="G37:G41"/>
    <mergeCell ref="H37:H41"/>
    <mergeCell ref="I37:I41"/>
    <mergeCell ref="J37:J41"/>
    <mergeCell ref="M37:M41"/>
    <mergeCell ref="N37:N41"/>
    <mergeCell ref="A37:A41"/>
    <mergeCell ref="B37:B41"/>
    <mergeCell ref="C37:C41"/>
    <mergeCell ref="D37:D41"/>
    <mergeCell ref="E37:E41"/>
    <mergeCell ref="F37:F41"/>
    <mergeCell ref="G42:G46"/>
    <mergeCell ref="H42:H46"/>
    <mergeCell ref="I42:I46"/>
    <mergeCell ref="J42:J46"/>
    <mergeCell ref="M42:M46"/>
    <mergeCell ref="N42:N46"/>
    <mergeCell ref="A42:A46"/>
    <mergeCell ref="B42:B46"/>
    <mergeCell ref="C42:C46"/>
    <mergeCell ref="D42:D46"/>
    <mergeCell ref="E42:E46"/>
    <mergeCell ref="F42:F46"/>
    <mergeCell ref="G47:G51"/>
    <mergeCell ref="H47:H51"/>
    <mergeCell ref="I47:I51"/>
    <mergeCell ref="J47:J51"/>
    <mergeCell ref="M47:M51"/>
    <mergeCell ref="N47:N51"/>
    <mergeCell ref="A47:A51"/>
    <mergeCell ref="B47:B51"/>
    <mergeCell ref="C47:C51"/>
    <mergeCell ref="D47:D51"/>
    <mergeCell ref="E47:E51"/>
    <mergeCell ref="F47:F51"/>
    <mergeCell ref="K57:L57"/>
    <mergeCell ref="G52:G56"/>
    <mergeCell ref="H52:H56"/>
    <mergeCell ref="I52:I56"/>
    <mergeCell ref="J52:J56"/>
    <mergeCell ref="M52:M56"/>
    <mergeCell ref="N52:N56"/>
    <mergeCell ref="A52:A56"/>
    <mergeCell ref="B52:B56"/>
    <mergeCell ref="C52:C56"/>
    <mergeCell ref="D52:D56"/>
    <mergeCell ref="E52:E56"/>
    <mergeCell ref="F52:F56"/>
  </mergeCells>
  <phoneticPr fontId="34" type="noConversion"/>
  <dataValidations count="1">
    <dataValidation type="list" allowBlank="1" showInputMessage="1" showErrorMessage="1" sqref="E17:E52" xr:uid="{B6B70B14-3331-4A4D-BCF8-434A33D08BF2}">
      <formula1>$K$17:$K$21</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15BF761-3ECE-459D-AC43-86A5618A0B8F}">
          <x14:formula1>
            <xm:f>'Response Guidlines'!$D$81:$D$87</xm:f>
          </x14:formula1>
          <xm:sqref>H17:H56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EE9CC-8475-44F7-910C-B17A22AC9160}">
  <sheetPr>
    <tabColor rgb="FF71725B"/>
    <pageSetUpPr fitToPage="1"/>
  </sheetPr>
  <dimension ref="A1:M62"/>
  <sheetViews>
    <sheetView zoomScaleNormal="100" workbookViewId="0">
      <selection activeCell="D8" sqref="D8:M9"/>
    </sheetView>
  </sheetViews>
  <sheetFormatPr defaultColWidth="9.26953125" defaultRowHeight="10.5" x14ac:dyDescent="0.35"/>
  <cols>
    <col min="1" max="1" width="4.453125" style="110" customWidth="1"/>
    <col min="2" max="2" width="37.26953125" style="118" customWidth="1"/>
    <col min="3" max="3" width="37.7265625" style="118" customWidth="1"/>
    <col min="4" max="4" width="24.26953125" style="118" hidden="1" customWidth="1"/>
    <col min="5" max="5" width="20.26953125" style="118" hidden="1" customWidth="1"/>
    <col min="6" max="6" width="22.54296875" style="118" hidden="1" customWidth="1"/>
    <col min="7" max="7" width="11.26953125" style="118" hidden="1" customWidth="1"/>
    <col min="8" max="8" width="7.54296875" style="118" hidden="1" customWidth="1"/>
    <col min="9" max="9" width="7.26953125" style="112" customWidth="1"/>
    <col min="10" max="10" width="25.26953125" style="113" customWidth="1"/>
    <col min="11" max="11" width="5.26953125" style="114" customWidth="1"/>
    <col min="12" max="12" width="6.26953125" style="159" customWidth="1"/>
    <col min="13" max="13" width="40.453125" style="115" customWidth="1"/>
    <col min="14" max="14" width="8.54296875" style="113" customWidth="1"/>
    <col min="15" max="16384" width="9.26953125" style="113"/>
  </cols>
  <sheetData>
    <row r="1" spans="1:13" x14ac:dyDescent="0.35">
      <c r="B1" s="111"/>
      <c r="C1" s="111"/>
      <c r="D1" s="111"/>
      <c r="E1" s="111"/>
      <c r="F1" s="111"/>
      <c r="G1" s="111"/>
      <c r="H1" s="111"/>
    </row>
    <row r="2" spans="1:13" ht="15.5" x14ac:dyDescent="0.35">
      <c r="B2" s="11" t="s">
        <v>51</v>
      </c>
      <c r="C2" s="116" t="str">
        <f>'Scoring Summary'!C2</f>
        <v>&lt;insert before tender publication&gt;</v>
      </c>
      <c r="D2" s="100"/>
      <c r="E2" s="390" t="s">
        <v>469</v>
      </c>
      <c r="F2" s="390"/>
      <c r="G2" s="390"/>
      <c r="H2" s="100"/>
      <c r="I2" s="100"/>
      <c r="J2" s="100"/>
      <c r="K2" s="100"/>
      <c r="L2" s="160"/>
      <c r="M2" s="100"/>
    </row>
    <row r="3" spans="1:13" ht="28" x14ac:dyDescent="0.35">
      <c r="B3" s="11" t="s">
        <v>54</v>
      </c>
      <c r="C3" s="116" t="str">
        <f>'Scoring Summary'!C3</f>
        <v>IT00641 Dx Commercial Energy Trader (Dx CET)</v>
      </c>
      <c r="D3" s="100"/>
      <c r="E3" s="390"/>
      <c r="F3" s="390"/>
      <c r="G3" s="390"/>
      <c r="H3" s="100"/>
      <c r="I3" s="100"/>
      <c r="J3" s="100"/>
      <c r="K3" s="100"/>
      <c r="L3" s="160"/>
      <c r="M3" s="100"/>
    </row>
    <row r="4" spans="1:13" ht="15.5" x14ac:dyDescent="0.35">
      <c r="B4" s="11" t="s">
        <v>55</v>
      </c>
      <c r="C4" s="116">
        <f>'Scoring Summary'!C4</f>
        <v>0.7</v>
      </c>
      <c r="D4" s="100"/>
      <c r="E4" s="390"/>
      <c r="F4" s="390"/>
      <c r="G4" s="390"/>
      <c r="H4" s="100"/>
      <c r="I4" s="100"/>
      <c r="J4" s="100"/>
      <c r="K4" s="100"/>
      <c r="L4" s="160"/>
      <c r="M4" s="100"/>
    </row>
    <row r="5" spans="1:13" ht="15.5" x14ac:dyDescent="0.35">
      <c r="B5" s="11" t="s">
        <v>84</v>
      </c>
      <c r="C5" s="117" t="str">
        <f>'Scoring Summary'!C5</f>
        <v>&lt;Evaluator to complete&gt;</v>
      </c>
      <c r="D5" s="100"/>
      <c r="E5" s="75"/>
      <c r="F5" s="75"/>
      <c r="G5" s="75"/>
      <c r="H5" s="100"/>
      <c r="I5" s="100"/>
      <c r="J5" s="100"/>
      <c r="K5" s="100"/>
      <c r="L5" s="160"/>
      <c r="M5" s="100"/>
    </row>
    <row r="6" spans="1:13" ht="15.5" x14ac:dyDescent="0.35">
      <c r="B6" s="11" t="s">
        <v>58</v>
      </c>
      <c r="C6" s="117" t="str">
        <f>'Scoring Summary'!C6</f>
        <v>&lt;Evaluator to complete&gt;</v>
      </c>
      <c r="D6" s="100"/>
      <c r="E6" s="100"/>
      <c r="F6" s="100"/>
      <c r="G6" s="100"/>
      <c r="H6" s="100"/>
      <c r="I6" s="100"/>
      <c r="J6" s="100"/>
      <c r="K6" s="100"/>
      <c r="L6" s="160"/>
      <c r="M6" s="100"/>
    </row>
    <row r="7" spans="1:13" ht="15.5" x14ac:dyDescent="0.35">
      <c r="B7" s="11" t="s">
        <v>59</v>
      </c>
      <c r="C7" s="117" t="str">
        <f>'Scoring Summary'!C7</f>
        <v>&lt;Evaluator to complete&gt;</v>
      </c>
      <c r="D7" s="100"/>
      <c r="E7" s="100"/>
      <c r="F7" s="100"/>
      <c r="G7" s="100"/>
      <c r="H7" s="100"/>
      <c r="I7" s="100"/>
      <c r="J7" s="100"/>
      <c r="K7" s="100"/>
      <c r="L7" s="160"/>
      <c r="M7" s="100"/>
    </row>
    <row r="8" spans="1:13" ht="14" x14ac:dyDescent="0.3">
      <c r="B8" s="11" t="s">
        <v>60</v>
      </c>
      <c r="C8" s="117"/>
      <c r="D8" s="466" t="s">
        <v>1278</v>
      </c>
      <c r="E8" s="467"/>
      <c r="F8" s="468"/>
      <c r="G8" s="318"/>
      <c r="H8" s="318"/>
      <c r="I8" s="318"/>
      <c r="J8" s="318"/>
      <c r="K8" s="318"/>
      <c r="L8" s="318"/>
      <c r="M8" s="318"/>
    </row>
    <row r="9" spans="1:13" ht="13.5" thickBot="1" x14ac:dyDescent="0.35">
      <c r="B9" s="119"/>
      <c r="C9" s="119"/>
      <c r="D9" s="469"/>
      <c r="E9" s="470"/>
      <c r="F9" s="471"/>
      <c r="G9" s="319"/>
      <c r="H9" s="319"/>
      <c r="I9" s="320"/>
      <c r="J9" s="472" t="s">
        <v>1279</v>
      </c>
      <c r="K9" s="472"/>
      <c r="L9" s="472"/>
      <c r="M9" s="472"/>
    </row>
    <row r="10" spans="1:13" x14ac:dyDescent="0.35">
      <c r="A10" s="637" t="s">
        <v>85</v>
      </c>
      <c r="B10" s="639" t="s">
        <v>86</v>
      </c>
      <c r="C10" s="640"/>
      <c r="D10" s="641" t="s">
        <v>87</v>
      </c>
      <c r="E10" s="642"/>
      <c r="F10" s="642"/>
      <c r="G10" s="120"/>
      <c r="H10" s="121"/>
      <c r="I10" s="122" t="s">
        <v>88</v>
      </c>
      <c r="J10" s="123"/>
      <c r="K10" s="123"/>
      <c r="L10" s="161"/>
      <c r="M10" s="124"/>
    </row>
    <row r="11" spans="1:13" s="135" customFormat="1" ht="58.15" customHeight="1" thickBot="1" x14ac:dyDescent="0.4">
      <c r="A11" s="638"/>
      <c r="B11" s="125" t="s">
        <v>89</v>
      </c>
      <c r="C11" s="126" t="s">
        <v>62</v>
      </c>
      <c r="D11" s="127" t="s">
        <v>90</v>
      </c>
      <c r="E11" s="128" t="s">
        <v>64</v>
      </c>
      <c r="F11" s="128" t="s">
        <v>91</v>
      </c>
      <c r="G11" s="129" t="s">
        <v>92</v>
      </c>
      <c r="H11" s="130" t="s">
        <v>93</v>
      </c>
      <c r="I11" s="131" t="s">
        <v>94</v>
      </c>
      <c r="J11" s="132" t="s">
        <v>95</v>
      </c>
      <c r="K11" s="133" t="s">
        <v>96</v>
      </c>
      <c r="L11" s="162" t="s">
        <v>67</v>
      </c>
      <c r="M11" s="134" t="s">
        <v>68</v>
      </c>
    </row>
    <row r="12" spans="1:13" s="135" customFormat="1" ht="20" x14ac:dyDescent="0.35">
      <c r="A12" s="647" t="s">
        <v>470</v>
      </c>
      <c r="B12" s="445" t="s">
        <v>471</v>
      </c>
      <c r="C12" s="649" t="s">
        <v>472</v>
      </c>
      <c r="D12" s="651"/>
      <c r="E12" s="652" t="s">
        <v>173</v>
      </c>
      <c r="F12" s="643"/>
      <c r="G12" s="521" t="s">
        <v>28</v>
      </c>
      <c r="H12" s="434">
        <f>IF(G12='Response Guidlines'!$D$81,'Response Guidlines'!$C$81, IF(G12='Response Guidlines'!$D$82,'Response Guidlines'!$C$82,IF(G12='Response Guidlines'!$D$83,'Response Guidlines'!$C$83,IF(G12='Response Guidlines'!$D$84,'Response Guidlines'!$C$84,IF(G12='Response Guidlines'!$D$85,'Response Guidlines'!$C$85,IF(G12='Response Guidlines'!$D$86,'Response Guidlines'!$C$86,IF(G12='Response Guidlines'!$D$87,'Response Guidlines'!$C$87,"No Rating")))))))</f>
        <v>5</v>
      </c>
      <c r="I12" s="420" t="e">
        <f>(H12/$H$52)/_xlfn.XLOOKUP('Scoring Summary'!#REF!,'Response Guidlines'!$D$92:$D$191,'Response Guidlines'!$C$92:$C$191,"",0,1)</f>
        <v>#REF!</v>
      </c>
      <c r="J12" s="56" t="s">
        <v>473</v>
      </c>
      <c r="K12" s="55" t="e">
        <f>I12</f>
        <v>#REF!</v>
      </c>
      <c r="L12" s="645">
        <v>0</v>
      </c>
      <c r="M12" s="569"/>
    </row>
    <row r="13" spans="1:13" s="135" customFormat="1" ht="20" x14ac:dyDescent="0.35">
      <c r="A13" s="648"/>
      <c r="B13" s="412"/>
      <c r="C13" s="650"/>
      <c r="D13" s="488"/>
      <c r="E13" s="613"/>
      <c r="F13" s="644"/>
      <c r="G13" s="521"/>
      <c r="H13" s="418"/>
      <c r="I13" s="401"/>
      <c r="J13" s="52" t="s">
        <v>474</v>
      </c>
      <c r="K13" s="51">
        <v>0</v>
      </c>
      <c r="L13" s="646"/>
      <c r="M13" s="438"/>
    </row>
    <row r="14" spans="1:13" s="135" customFormat="1" ht="20" x14ac:dyDescent="0.35">
      <c r="A14" s="647" t="s">
        <v>475</v>
      </c>
      <c r="B14" s="412" t="s">
        <v>476</v>
      </c>
      <c r="C14" s="650" t="s">
        <v>477</v>
      </c>
      <c r="D14" s="488"/>
      <c r="E14" s="490"/>
      <c r="F14" s="644"/>
      <c r="G14" s="521" t="s">
        <v>28</v>
      </c>
      <c r="H14" s="418">
        <f>IF(G14='Response Guidlines'!$D$81,'Response Guidlines'!$C$81, IF(G14='Response Guidlines'!$D$82,'Response Guidlines'!$C$82,IF(G14='Response Guidlines'!$D$83,'Response Guidlines'!$C$83,IF(G14='Response Guidlines'!$D$84,'Response Guidlines'!$C$84,IF(G14='Response Guidlines'!$D$85,'Response Guidlines'!$C$85,IF(G14='Response Guidlines'!$D$86,'Response Guidlines'!$C$86,IF(G14='Response Guidlines'!$D$87,'Response Guidlines'!$C$87,"No Rating")))))))</f>
        <v>5</v>
      </c>
      <c r="I14" s="401" t="e">
        <f>(H14/$H$52)/_xlfn.XLOOKUP('Scoring Summary'!#REF!,'Response Guidlines'!$D$92:$D$191,'Response Guidlines'!$C$92:$C$191,"",0,1)</f>
        <v>#REF!</v>
      </c>
      <c r="J14" s="56" t="s">
        <v>478</v>
      </c>
      <c r="K14" s="55" t="e">
        <f>I14</f>
        <v>#REF!</v>
      </c>
      <c r="L14" s="653">
        <v>0</v>
      </c>
      <c r="M14" s="424"/>
    </row>
    <row r="15" spans="1:13" s="135" customFormat="1" ht="20" x14ac:dyDescent="0.35">
      <c r="A15" s="648"/>
      <c r="B15" s="412"/>
      <c r="C15" s="650"/>
      <c r="D15" s="488"/>
      <c r="E15" s="490"/>
      <c r="F15" s="644"/>
      <c r="G15" s="521"/>
      <c r="H15" s="418"/>
      <c r="I15" s="401"/>
      <c r="J15" s="56" t="s">
        <v>479</v>
      </c>
      <c r="K15" s="51">
        <v>0</v>
      </c>
      <c r="L15" s="646"/>
      <c r="M15" s="438"/>
    </row>
    <row r="16" spans="1:13" s="135" customFormat="1" ht="21" x14ac:dyDescent="0.35">
      <c r="A16" s="647" t="s">
        <v>480</v>
      </c>
      <c r="B16" s="412" t="s">
        <v>481</v>
      </c>
      <c r="C16" s="409" t="s">
        <v>482</v>
      </c>
      <c r="D16" s="407"/>
      <c r="E16" s="412"/>
      <c r="F16" s="409"/>
      <c r="G16" s="521" t="s">
        <v>28</v>
      </c>
      <c r="H16" s="418">
        <f>IF(G16='Response Guidlines'!$D$81,'Response Guidlines'!$C$81, IF(G16='Response Guidlines'!$D$82,'Response Guidlines'!$C$82,IF(G16='Response Guidlines'!$D$83,'Response Guidlines'!$C$83,IF(G16='Response Guidlines'!$D$84,'Response Guidlines'!$C$84,IF(G16='Response Guidlines'!$D$85,'Response Guidlines'!$C$85,IF(G16='Response Guidlines'!$D$86,'Response Guidlines'!$C$86,IF(G16='Response Guidlines'!$D$87,'Response Guidlines'!$C$87,"No Rating")))))))</f>
        <v>5</v>
      </c>
      <c r="I16" s="401" t="e">
        <f>(H16/$H$52)/_xlfn.XLOOKUP('Scoring Summary'!#REF!,'Response Guidlines'!$D$92:$D$191,'Response Guidlines'!$C$92:$C$191,"",0,1)</f>
        <v>#REF!</v>
      </c>
      <c r="J16" s="52" t="s">
        <v>483</v>
      </c>
      <c r="K16" s="55" t="e">
        <f>I16</f>
        <v>#REF!</v>
      </c>
      <c r="L16" s="653">
        <v>0</v>
      </c>
      <c r="M16" s="424"/>
    </row>
    <row r="17" spans="1:13" s="135" customFormat="1" ht="21" x14ac:dyDescent="0.35">
      <c r="A17" s="647"/>
      <c r="B17" s="412"/>
      <c r="C17" s="409"/>
      <c r="D17" s="407"/>
      <c r="E17" s="412"/>
      <c r="F17" s="409"/>
      <c r="G17" s="521"/>
      <c r="H17" s="418"/>
      <c r="I17" s="401"/>
      <c r="J17" s="54" t="s">
        <v>484</v>
      </c>
      <c r="K17" s="51" t="e">
        <f>K16/2</f>
        <v>#REF!</v>
      </c>
      <c r="L17" s="645"/>
      <c r="M17" s="569"/>
    </row>
    <row r="18" spans="1:13" s="135" customFormat="1" ht="31" x14ac:dyDescent="0.35">
      <c r="A18" s="648"/>
      <c r="B18" s="412"/>
      <c r="C18" s="409"/>
      <c r="D18" s="407"/>
      <c r="E18" s="412"/>
      <c r="F18" s="409"/>
      <c r="G18" s="521"/>
      <c r="H18" s="418"/>
      <c r="I18" s="401"/>
      <c r="J18" s="52" t="s">
        <v>485</v>
      </c>
      <c r="K18" s="51">
        <v>0</v>
      </c>
      <c r="L18" s="646"/>
      <c r="M18" s="438"/>
    </row>
    <row r="19" spans="1:13" s="135" customFormat="1" ht="21" x14ac:dyDescent="0.35">
      <c r="A19" s="647" t="s">
        <v>486</v>
      </c>
      <c r="B19" s="412" t="s">
        <v>487</v>
      </c>
      <c r="C19" s="409" t="s">
        <v>488</v>
      </c>
      <c r="D19" s="411"/>
      <c r="E19" s="412"/>
      <c r="F19" s="409"/>
      <c r="G19" s="521" t="s">
        <v>28</v>
      </c>
      <c r="H19" s="418">
        <f>IF(G19='Response Guidlines'!$D$81,'Response Guidlines'!$C$81, IF(G19='Response Guidlines'!$D$82,'Response Guidlines'!$C$82,IF(G19='Response Guidlines'!$D$83,'Response Guidlines'!$C$83,IF(G19='Response Guidlines'!$D$84,'Response Guidlines'!$C$84,IF(G19='Response Guidlines'!$D$85,'Response Guidlines'!$C$85,IF(G19='Response Guidlines'!$D$86,'Response Guidlines'!$C$86,IF(G19='Response Guidlines'!$D$87,'Response Guidlines'!$C$87,"No Rating")))))))</f>
        <v>5</v>
      </c>
      <c r="I19" s="401" t="e">
        <f>(H19/$H$52)/_xlfn.XLOOKUP('Scoring Summary'!#REF!,'Response Guidlines'!$D$92:$D$191,'Response Guidlines'!$C$92:$C$191,"",0,1)</f>
        <v>#REF!</v>
      </c>
      <c r="J19" s="52" t="s">
        <v>483</v>
      </c>
      <c r="K19" s="55" t="e">
        <f>I19</f>
        <v>#REF!</v>
      </c>
      <c r="L19" s="653">
        <v>0</v>
      </c>
      <c r="M19" s="424"/>
    </row>
    <row r="20" spans="1:13" s="135" customFormat="1" ht="21" x14ac:dyDescent="0.35">
      <c r="A20" s="647"/>
      <c r="B20" s="412"/>
      <c r="C20" s="409"/>
      <c r="D20" s="407"/>
      <c r="E20" s="412"/>
      <c r="F20" s="409"/>
      <c r="G20" s="521"/>
      <c r="H20" s="418"/>
      <c r="I20" s="401"/>
      <c r="J20" s="54" t="s">
        <v>489</v>
      </c>
      <c r="K20" s="51" t="e">
        <f>K19/2</f>
        <v>#REF!</v>
      </c>
      <c r="L20" s="645"/>
      <c r="M20" s="569"/>
    </row>
    <row r="21" spans="1:13" s="135" customFormat="1" ht="31" x14ac:dyDescent="0.35">
      <c r="A21" s="648"/>
      <c r="B21" s="412"/>
      <c r="C21" s="409"/>
      <c r="D21" s="407"/>
      <c r="E21" s="412"/>
      <c r="F21" s="409"/>
      <c r="G21" s="521"/>
      <c r="H21" s="418"/>
      <c r="I21" s="401"/>
      <c r="J21" s="52" t="s">
        <v>485</v>
      </c>
      <c r="K21" s="51">
        <v>0</v>
      </c>
      <c r="L21" s="646"/>
      <c r="M21" s="438"/>
    </row>
    <row r="22" spans="1:13" s="135" customFormat="1" ht="30.5" x14ac:dyDescent="0.35">
      <c r="A22" s="647" t="s">
        <v>490</v>
      </c>
      <c r="B22" s="412" t="s">
        <v>491</v>
      </c>
      <c r="C22" s="650" t="s">
        <v>492</v>
      </c>
      <c r="D22" s="488"/>
      <c r="E22" s="490"/>
      <c r="F22" s="644"/>
      <c r="G22" s="521" t="s">
        <v>28</v>
      </c>
      <c r="H22" s="418">
        <f>IF(G22='Response Guidlines'!$D$81,'Response Guidlines'!$C$81, IF(G22='Response Guidlines'!$D$82,'Response Guidlines'!$C$82,IF(G22='Response Guidlines'!$D$83,'Response Guidlines'!$C$83,IF(G22='Response Guidlines'!$D$84,'Response Guidlines'!$C$84,IF(G22='Response Guidlines'!$D$85,'Response Guidlines'!$C$85,IF(G22='Response Guidlines'!$D$86,'Response Guidlines'!$C$86,IF(G22='Response Guidlines'!$D$87,'Response Guidlines'!$C$87,"No Rating")))))))</f>
        <v>5</v>
      </c>
      <c r="I22" s="401" t="e">
        <f>(H22/$H$52)/_xlfn.XLOOKUP('Scoring Summary'!#REF!,'Response Guidlines'!$D$92:$D$191,'Response Guidlines'!$C$92:$C$191,"",0,1)</f>
        <v>#REF!</v>
      </c>
      <c r="J22" s="56" t="s">
        <v>493</v>
      </c>
      <c r="K22" s="55" t="e">
        <f>I22</f>
        <v>#REF!</v>
      </c>
      <c r="L22" s="653">
        <v>0</v>
      </c>
      <c r="M22" s="424"/>
    </row>
    <row r="23" spans="1:13" s="135" customFormat="1" ht="30.5" x14ac:dyDescent="0.35">
      <c r="A23" s="647"/>
      <c r="B23" s="412"/>
      <c r="C23" s="650"/>
      <c r="D23" s="488"/>
      <c r="E23" s="490"/>
      <c r="F23" s="644"/>
      <c r="G23" s="521"/>
      <c r="H23" s="418"/>
      <c r="I23" s="401"/>
      <c r="J23" s="56" t="s">
        <v>494</v>
      </c>
      <c r="K23" s="51" t="e">
        <f>K22/2</f>
        <v>#REF!</v>
      </c>
      <c r="L23" s="645"/>
      <c r="M23" s="569"/>
    </row>
    <row r="24" spans="1:13" s="135" customFormat="1" ht="10" x14ac:dyDescent="0.35">
      <c r="A24" s="648"/>
      <c r="B24" s="412"/>
      <c r="C24" s="650"/>
      <c r="D24" s="488"/>
      <c r="E24" s="490"/>
      <c r="F24" s="644"/>
      <c r="G24" s="521"/>
      <c r="H24" s="418"/>
      <c r="I24" s="401"/>
      <c r="J24" s="52" t="s">
        <v>495</v>
      </c>
      <c r="K24" s="51">
        <v>0</v>
      </c>
      <c r="L24" s="646"/>
      <c r="M24" s="438"/>
    </row>
    <row r="25" spans="1:13" s="135" customFormat="1" ht="30.5" x14ac:dyDescent="0.35">
      <c r="A25" s="647" t="s">
        <v>496</v>
      </c>
      <c r="B25" s="412" t="s">
        <v>497</v>
      </c>
      <c r="C25" s="650" t="s">
        <v>498</v>
      </c>
      <c r="D25" s="488"/>
      <c r="E25" s="490"/>
      <c r="F25" s="644"/>
      <c r="G25" s="521" t="s">
        <v>28</v>
      </c>
      <c r="H25" s="418">
        <f>IF(G25='Response Guidlines'!$D$81,'Response Guidlines'!$C$81, IF(G25='Response Guidlines'!$D$82,'Response Guidlines'!$C$82,IF(G25='Response Guidlines'!$D$83,'Response Guidlines'!$C$83,IF(G25='Response Guidlines'!$D$84,'Response Guidlines'!$C$84,IF(G25='Response Guidlines'!$D$85,'Response Guidlines'!$C$85,IF(G25='Response Guidlines'!$D$86,'Response Guidlines'!$C$86,IF(G25='Response Guidlines'!$D$87,'Response Guidlines'!$C$87,"No Rating")))))))</f>
        <v>5</v>
      </c>
      <c r="I25" s="401" t="e">
        <f>(H25/$H$52)/_xlfn.XLOOKUP('Scoring Summary'!#REF!,'Response Guidlines'!$D$92:$D$191,'Response Guidlines'!$C$92:$C$191,"",0,1)</f>
        <v>#REF!</v>
      </c>
      <c r="J25" s="56" t="s">
        <v>499</v>
      </c>
      <c r="K25" s="55" t="e">
        <f>I25</f>
        <v>#REF!</v>
      </c>
      <c r="L25" s="653">
        <v>0</v>
      </c>
      <c r="M25" s="424"/>
    </row>
    <row r="26" spans="1:13" s="135" customFormat="1" ht="30.5" x14ac:dyDescent="0.35">
      <c r="A26" s="647"/>
      <c r="B26" s="412"/>
      <c r="C26" s="650"/>
      <c r="D26" s="488"/>
      <c r="E26" s="490"/>
      <c r="F26" s="644"/>
      <c r="G26" s="521"/>
      <c r="H26" s="418"/>
      <c r="I26" s="401"/>
      <c r="J26" s="56" t="s">
        <v>500</v>
      </c>
      <c r="K26" s="51" t="e">
        <f>K25/2</f>
        <v>#REF!</v>
      </c>
      <c r="L26" s="645"/>
      <c r="M26" s="569"/>
    </row>
    <row r="27" spans="1:13" s="135" customFormat="1" ht="11.25" customHeight="1" x14ac:dyDescent="0.35">
      <c r="A27" s="648"/>
      <c r="B27" s="412"/>
      <c r="C27" s="650"/>
      <c r="D27" s="488"/>
      <c r="E27" s="490"/>
      <c r="F27" s="644"/>
      <c r="G27" s="521"/>
      <c r="H27" s="418"/>
      <c r="I27" s="401"/>
      <c r="J27" s="52" t="s">
        <v>495</v>
      </c>
      <c r="K27" s="51">
        <v>0</v>
      </c>
      <c r="L27" s="646"/>
      <c r="M27" s="438"/>
    </row>
    <row r="28" spans="1:13" s="135" customFormat="1" ht="40" x14ac:dyDescent="0.35">
      <c r="A28" s="647" t="s">
        <v>501</v>
      </c>
      <c r="B28" s="412" t="s">
        <v>502</v>
      </c>
      <c r="C28" s="650" t="s">
        <v>503</v>
      </c>
      <c r="D28" s="488"/>
      <c r="E28" s="490"/>
      <c r="F28" s="644"/>
      <c r="G28" s="521" t="s">
        <v>28</v>
      </c>
      <c r="H28" s="418">
        <f>IF(G28='Response Guidlines'!$D$81,'Response Guidlines'!$C$81, IF(G28='Response Guidlines'!$D$82,'Response Guidlines'!$C$82,IF(G28='Response Guidlines'!$D$83,'Response Guidlines'!$C$83,IF(G28='Response Guidlines'!$D$84,'Response Guidlines'!$C$84,IF(G28='Response Guidlines'!$D$85,'Response Guidlines'!$C$85,IF(G28='Response Guidlines'!$D$86,'Response Guidlines'!$C$86,IF(G28='Response Guidlines'!$D$87,'Response Guidlines'!$C$87,"No Rating")))))))</f>
        <v>5</v>
      </c>
      <c r="I28" s="401" t="e">
        <f>(H28/$H$52)/_xlfn.XLOOKUP('Scoring Summary'!#REF!,'Response Guidlines'!$D$92:$D$191,'Response Guidlines'!$C$92:$C$191,"",0,1)</f>
        <v>#REF!</v>
      </c>
      <c r="J28" s="56" t="s">
        <v>504</v>
      </c>
      <c r="K28" s="55" t="e">
        <f>I28</f>
        <v>#REF!</v>
      </c>
      <c r="L28" s="653">
        <v>0</v>
      </c>
      <c r="M28" s="424"/>
    </row>
    <row r="29" spans="1:13" s="135" customFormat="1" ht="40" x14ac:dyDescent="0.35">
      <c r="A29" s="647"/>
      <c r="B29" s="412"/>
      <c r="C29" s="650"/>
      <c r="D29" s="488"/>
      <c r="E29" s="490"/>
      <c r="F29" s="644"/>
      <c r="G29" s="521"/>
      <c r="H29" s="418"/>
      <c r="I29" s="401"/>
      <c r="J29" s="56" t="s">
        <v>505</v>
      </c>
      <c r="K29" s="51" t="e">
        <f>K28/2</f>
        <v>#REF!</v>
      </c>
      <c r="L29" s="645"/>
      <c r="M29" s="569"/>
    </row>
    <row r="30" spans="1:13" s="135" customFormat="1" ht="10" x14ac:dyDescent="0.35">
      <c r="A30" s="648"/>
      <c r="B30" s="412"/>
      <c r="C30" s="650"/>
      <c r="D30" s="488"/>
      <c r="E30" s="490"/>
      <c r="F30" s="644"/>
      <c r="G30" s="521"/>
      <c r="H30" s="418"/>
      <c r="I30" s="401"/>
      <c r="J30" s="56" t="s">
        <v>495</v>
      </c>
      <c r="K30" s="51">
        <v>0</v>
      </c>
      <c r="L30" s="646"/>
      <c r="M30" s="438"/>
    </row>
    <row r="31" spans="1:13" s="135" customFormat="1" ht="30" x14ac:dyDescent="0.35">
      <c r="A31" s="647" t="s">
        <v>506</v>
      </c>
      <c r="B31" s="412" t="s">
        <v>507</v>
      </c>
      <c r="C31" s="654" t="s">
        <v>508</v>
      </c>
      <c r="D31" s="407"/>
      <c r="E31" s="412"/>
      <c r="F31" s="409"/>
      <c r="G31" s="521" t="s">
        <v>27</v>
      </c>
      <c r="H31" s="418">
        <f>IF(G31='Response Guidlines'!$D$81,'Response Guidlines'!$C$81, IF(G31='Response Guidlines'!$D$82,'Response Guidlines'!$C$82,IF(G31='Response Guidlines'!$D$83,'Response Guidlines'!$C$83,IF(G31='Response Guidlines'!$D$84,'Response Guidlines'!$C$84,IF(G31='Response Guidlines'!$D$85,'Response Guidlines'!$C$85,IF(G31='Response Guidlines'!$D$86,'Response Guidlines'!$C$86,IF(G31='Response Guidlines'!$D$87,'Response Guidlines'!$C$87,"No Rating")))))))</f>
        <v>4</v>
      </c>
      <c r="I31" s="401" t="e">
        <f>(H31/$H$52)/_xlfn.XLOOKUP('Scoring Summary'!#REF!,'Response Guidlines'!$D$92:$D$191,'Response Guidlines'!$C$92:$C$191,"",0,1)</f>
        <v>#REF!</v>
      </c>
      <c r="J31" s="52" t="s">
        <v>509</v>
      </c>
      <c r="K31" s="55" t="e">
        <f>I31</f>
        <v>#REF!</v>
      </c>
      <c r="L31" s="653">
        <v>0</v>
      </c>
      <c r="M31" s="655"/>
    </row>
    <row r="32" spans="1:13" s="135" customFormat="1" ht="20" x14ac:dyDescent="0.35">
      <c r="A32" s="647"/>
      <c r="B32" s="412"/>
      <c r="C32" s="409"/>
      <c r="D32" s="407"/>
      <c r="E32" s="412"/>
      <c r="F32" s="409"/>
      <c r="G32" s="521"/>
      <c r="H32" s="418"/>
      <c r="I32" s="401"/>
      <c r="J32" s="54" t="s">
        <v>510</v>
      </c>
      <c r="K32" s="51" t="e">
        <f>K31/2</f>
        <v>#REF!</v>
      </c>
      <c r="L32" s="645"/>
      <c r="M32" s="580"/>
    </row>
    <row r="33" spans="1:13" s="135" customFormat="1" ht="10" x14ac:dyDescent="0.35">
      <c r="A33" s="648"/>
      <c r="B33" s="412"/>
      <c r="C33" s="409"/>
      <c r="D33" s="407"/>
      <c r="E33" s="412"/>
      <c r="F33" s="409"/>
      <c r="G33" s="521"/>
      <c r="H33" s="418"/>
      <c r="I33" s="401"/>
      <c r="J33" s="52" t="s">
        <v>511</v>
      </c>
      <c r="K33" s="51">
        <v>0</v>
      </c>
      <c r="L33" s="646"/>
      <c r="M33" s="581"/>
    </row>
    <row r="34" spans="1:13" s="135" customFormat="1" ht="20" x14ac:dyDescent="0.35">
      <c r="A34" s="647" t="s">
        <v>512</v>
      </c>
      <c r="B34" s="412" t="s">
        <v>513</v>
      </c>
      <c r="C34" s="409" t="s">
        <v>514</v>
      </c>
      <c r="D34" s="411"/>
      <c r="E34" s="412"/>
      <c r="F34" s="409"/>
      <c r="G34" s="521" t="s">
        <v>27</v>
      </c>
      <c r="H34" s="418">
        <f>IF(G34='Response Guidlines'!$D$81,'Response Guidlines'!$C$81, IF(G34='Response Guidlines'!$D$82,'Response Guidlines'!$C$82,IF(G34='Response Guidlines'!$D$83,'Response Guidlines'!$C$83,IF(G34='Response Guidlines'!$D$84,'Response Guidlines'!$C$84,IF(G34='Response Guidlines'!$D$85,'Response Guidlines'!$C$85,IF(G34='Response Guidlines'!$D$86,'Response Guidlines'!$C$86,IF(G34='Response Guidlines'!$D$87,'Response Guidlines'!$C$87,"No Rating")))))))</f>
        <v>4</v>
      </c>
      <c r="I34" s="401" t="e">
        <f>(H34/$H$52)/_xlfn.XLOOKUP('Scoring Summary'!#REF!,'Response Guidlines'!$D$92:$D$191,'Response Guidlines'!$C$92:$C$191,"",0,1)</f>
        <v>#REF!</v>
      </c>
      <c r="J34" s="52" t="s">
        <v>515</v>
      </c>
      <c r="K34" s="55" t="e">
        <f>I34</f>
        <v>#REF!</v>
      </c>
      <c r="L34" s="653">
        <v>0</v>
      </c>
      <c r="M34" s="424"/>
    </row>
    <row r="35" spans="1:13" s="135" customFormat="1" ht="20" x14ac:dyDescent="0.35">
      <c r="A35" s="648"/>
      <c r="B35" s="412"/>
      <c r="C35" s="409"/>
      <c r="D35" s="407"/>
      <c r="E35" s="412"/>
      <c r="F35" s="409"/>
      <c r="G35" s="521"/>
      <c r="H35" s="418"/>
      <c r="I35" s="401"/>
      <c r="J35" s="52" t="s">
        <v>516</v>
      </c>
      <c r="K35" s="51">
        <v>0</v>
      </c>
      <c r="L35" s="646"/>
      <c r="M35" s="438"/>
    </row>
    <row r="36" spans="1:13" s="135" customFormat="1" ht="20" x14ac:dyDescent="0.35">
      <c r="A36" s="647" t="s">
        <v>517</v>
      </c>
      <c r="B36" s="412" t="s">
        <v>518</v>
      </c>
      <c r="C36" s="409" t="s">
        <v>519</v>
      </c>
      <c r="D36" s="407"/>
      <c r="E36" s="412"/>
      <c r="F36" s="409"/>
      <c r="G36" s="521" t="s">
        <v>27</v>
      </c>
      <c r="H36" s="418">
        <f>IF(G36='Response Guidlines'!$D$81,'Response Guidlines'!$C$81, IF(G36='Response Guidlines'!$D$82,'Response Guidlines'!$C$82,IF(G36='Response Guidlines'!$D$83,'Response Guidlines'!$C$83,IF(G36='Response Guidlines'!$D$84,'Response Guidlines'!$C$84,IF(G36='Response Guidlines'!$D$85,'Response Guidlines'!$C$85,IF(G36='Response Guidlines'!$D$86,'Response Guidlines'!$C$86,IF(G36='Response Guidlines'!$D$87,'Response Guidlines'!$C$87,"No Rating")))))))</f>
        <v>4</v>
      </c>
      <c r="I36" s="401" t="e">
        <f>(H36/$H$52)/_xlfn.XLOOKUP('Scoring Summary'!#REF!,'Response Guidlines'!$D$92:$D$191,'Response Guidlines'!$C$92:$C$191,"",0,1)</f>
        <v>#REF!</v>
      </c>
      <c r="J36" s="52" t="s">
        <v>520</v>
      </c>
      <c r="K36" s="51" t="e">
        <f>I36</f>
        <v>#REF!</v>
      </c>
      <c r="L36" s="653">
        <v>0</v>
      </c>
      <c r="M36" s="424"/>
    </row>
    <row r="37" spans="1:13" s="135" customFormat="1" ht="20" x14ac:dyDescent="0.35">
      <c r="A37" s="648"/>
      <c r="B37" s="412"/>
      <c r="C37" s="409"/>
      <c r="D37" s="407"/>
      <c r="E37" s="412"/>
      <c r="F37" s="409"/>
      <c r="G37" s="521"/>
      <c r="H37" s="418"/>
      <c r="I37" s="401"/>
      <c r="J37" s="52" t="s">
        <v>521</v>
      </c>
      <c r="K37" s="51">
        <v>0</v>
      </c>
      <c r="L37" s="646"/>
      <c r="M37" s="438"/>
    </row>
    <row r="38" spans="1:13" s="135" customFormat="1" ht="20" x14ac:dyDescent="0.35">
      <c r="A38" s="647" t="s">
        <v>522</v>
      </c>
      <c r="B38" s="412" t="s">
        <v>523</v>
      </c>
      <c r="C38" s="650" t="s">
        <v>524</v>
      </c>
      <c r="D38" s="657"/>
      <c r="E38" s="613"/>
      <c r="F38" s="599"/>
      <c r="G38" s="521" t="s">
        <v>28</v>
      </c>
      <c r="H38" s="418">
        <f>IF(G38='Response Guidlines'!$D$81,'Response Guidlines'!$C$81, IF(G38='Response Guidlines'!$D$82,'Response Guidlines'!$C$82,IF(G38='Response Guidlines'!$D$83,'Response Guidlines'!$C$83,IF(G38='Response Guidlines'!$D$84,'Response Guidlines'!$C$84,IF(G38='Response Guidlines'!$D$85,'Response Guidlines'!$C$85,IF(G38='Response Guidlines'!$D$86,'Response Guidlines'!$C$86,IF(G38='Response Guidlines'!$D$87,'Response Guidlines'!$C$87,"No Rating")))))))</f>
        <v>5</v>
      </c>
      <c r="I38" s="401" t="e">
        <f>(H38/$H$52)/_xlfn.XLOOKUP('Scoring Summary'!#REF!,'Response Guidlines'!$D$92:$D$191,'Response Guidlines'!$C$92:$C$191,"",0,1)</f>
        <v>#REF!</v>
      </c>
      <c r="J38" s="56" t="s">
        <v>525</v>
      </c>
      <c r="K38" s="55" t="e">
        <f>I38</f>
        <v>#REF!</v>
      </c>
      <c r="L38" s="653">
        <v>0</v>
      </c>
      <c r="M38" s="424"/>
    </row>
    <row r="39" spans="1:13" s="135" customFormat="1" ht="20" x14ac:dyDescent="0.35">
      <c r="A39" s="648"/>
      <c r="B39" s="613"/>
      <c r="C39" s="656"/>
      <c r="D39" s="657"/>
      <c r="E39" s="613"/>
      <c r="F39" s="599"/>
      <c r="G39" s="521"/>
      <c r="H39" s="418"/>
      <c r="I39" s="401"/>
      <c r="J39" s="52" t="s">
        <v>526</v>
      </c>
      <c r="K39" s="51">
        <v>0</v>
      </c>
      <c r="L39" s="646"/>
      <c r="M39" s="438"/>
    </row>
    <row r="40" spans="1:13" s="135" customFormat="1" ht="20" x14ac:dyDescent="0.35">
      <c r="A40" s="647" t="s">
        <v>527</v>
      </c>
      <c r="B40" s="412" t="s">
        <v>528</v>
      </c>
      <c r="C40" s="650" t="s">
        <v>529</v>
      </c>
      <c r="D40" s="407"/>
      <c r="E40" s="412"/>
      <c r="F40" s="409"/>
      <c r="G40" s="521" t="s">
        <v>27</v>
      </c>
      <c r="H40" s="418">
        <f>IF(G40='Response Guidlines'!$D$81,'Response Guidlines'!$C$81, IF(G40='Response Guidlines'!$D$82,'Response Guidlines'!$C$82,IF(G40='Response Guidlines'!$D$83,'Response Guidlines'!$C$83,IF(G40='Response Guidlines'!$D$84,'Response Guidlines'!$C$84,IF(G40='Response Guidlines'!$D$85,'Response Guidlines'!$C$85,IF(G40='Response Guidlines'!$D$86,'Response Guidlines'!$C$86,IF(G40='Response Guidlines'!$D$87,'Response Guidlines'!$C$87,"No Rating")))))))</f>
        <v>4</v>
      </c>
      <c r="I40" s="401" t="e">
        <f>(H40/$H$52)/_xlfn.XLOOKUP('Scoring Summary'!#REF!,'Response Guidlines'!$D$92:$D$191,'Response Guidlines'!$C$92:$C$191,"",0,1)</f>
        <v>#REF!</v>
      </c>
      <c r="J40" s="52" t="s">
        <v>530</v>
      </c>
      <c r="K40" s="51" t="e">
        <f>I40</f>
        <v>#REF!</v>
      </c>
      <c r="L40" s="653">
        <v>0</v>
      </c>
      <c r="M40" s="424"/>
    </row>
    <row r="41" spans="1:13" s="135" customFormat="1" ht="20" x14ac:dyDescent="0.35">
      <c r="A41" s="647"/>
      <c r="B41" s="412"/>
      <c r="C41" s="650"/>
      <c r="D41" s="407"/>
      <c r="E41" s="412"/>
      <c r="F41" s="409"/>
      <c r="G41" s="521"/>
      <c r="H41" s="418"/>
      <c r="I41" s="401"/>
      <c r="J41" s="57" t="s">
        <v>531</v>
      </c>
      <c r="K41" s="53" t="e">
        <f>K40/2</f>
        <v>#REF!</v>
      </c>
      <c r="L41" s="645"/>
      <c r="M41" s="569"/>
    </row>
    <row r="42" spans="1:13" s="135" customFormat="1" ht="20" x14ac:dyDescent="0.35">
      <c r="A42" s="648"/>
      <c r="B42" s="412"/>
      <c r="C42" s="650"/>
      <c r="D42" s="407"/>
      <c r="E42" s="412"/>
      <c r="F42" s="409"/>
      <c r="G42" s="521"/>
      <c r="H42" s="418"/>
      <c r="I42" s="401"/>
      <c r="J42" s="52" t="s">
        <v>532</v>
      </c>
      <c r="K42" s="51">
        <v>0</v>
      </c>
      <c r="L42" s="646"/>
      <c r="M42" s="438"/>
    </row>
    <row r="43" spans="1:13" s="135" customFormat="1" ht="30" x14ac:dyDescent="0.35">
      <c r="A43" s="647" t="s">
        <v>533</v>
      </c>
      <c r="B43" s="412" t="s">
        <v>534</v>
      </c>
      <c r="C43" s="650" t="s">
        <v>535</v>
      </c>
      <c r="D43" s="411"/>
      <c r="E43" s="412"/>
      <c r="F43" s="409"/>
      <c r="G43" s="521" t="s">
        <v>27</v>
      </c>
      <c r="H43" s="418">
        <f>IF(G43='Response Guidlines'!$D$81,'Response Guidlines'!$C$81, IF(G43='Response Guidlines'!$D$82,'Response Guidlines'!$C$82,IF(G43='Response Guidlines'!$D$83,'Response Guidlines'!$C$83,IF(G43='Response Guidlines'!$D$84,'Response Guidlines'!$C$84,IF(G43='Response Guidlines'!$D$85,'Response Guidlines'!$C$85,IF(G43='Response Guidlines'!$D$86,'Response Guidlines'!$C$86,IF(G43='Response Guidlines'!$D$87,'Response Guidlines'!$C$87,"No Rating")))))))</f>
        <v>4</v>
      </c>
      <c r="I43" s="401" t="e">
        <f>(H43/$H$52)/_xlfn.XLOOKUP('Scoring Summary'!#REF!,'Response Guidlines'!$D$92:$D$191,'Response Guidlines'!$C$92:$C$191,"",0,1)</f>
        <v>#REF!</v>
      </c>
      <c r="J43" s="56" t="s">
        <v>536</v>
      </c>
      <c r="K43" s="55" t="e">
        <f>I43</f>
        <v>#REF!</v>
      </c>
      <c r="L43" s="653">
        <v>0</v>
      </c>
      <c r="M43" s="424"/>
    </row>
    <row r="44" spans="1:13" s="135" customFormat="1" ht="30.5" x14ac:dyDescent="0.35">
      <c r="A44" s="647"/>
      <c r="B44" s="412"/>
      <c r="C44" s="650"/>
      <c r="D44" s="407"/>
      <c r="E44" s="412"/>
      <c r="F44" s="409"/>
      <c r="G44" s="521"/>
      <c r="H44" s="418"/>
      <c r="I44" s="401"/>
      <c r="J44" s="52" t="s">
        <v>537</v>
      </c>
      <c r="K44" s="51" t="e">
        <f>K43/2</f>
        <v>#REF!</v>
      </c>
      <c r="L44" s="645"/>
      <c r="M44" s="569"/>
    </row>
    <row r="45" spans="1:13" s="135" customFormat="1" ht="20" x14ac:dyDescent="0.35">
      <c r="A45" s="648"/>
      <c r="B45" s="412"/>
      <c r="C45" s="650"/>
      <c r="D45" s="407"/>
      <c r="E45" s="412"/>
      <c r="F45" s="409"/>
      <c r="G45" s="521"/>
      <c r="H45" s="418"/>
      <c r="I45" s="401"/>
      <c r="J45" s="52" t="s">
        <v>538</v>
      </c>
      <c r="K45" s="51">
        <v>0</v>
      </c>
      <c r="L45" s="646"/>
      <c r="M45" s="438"/>
    </row>
    <row r="46" spans="1:13" s="135" customFormat="1" ht="20" x14ac:dyDescent="0.35">
      <c r="A46" s="647" t="s">
        <v>539</v>
      </c>
      <c r="B46" s="412" t="s">
        <v>540</v>
      </c>
      <c r="C46" s="409" t="s">
        <v>541</v>
      </c>
      <c r="D46" s="407"/>
      <c r="E46" s="412"/>
      <c r="F46" s="409"/>
      <c r="G46" s="521" t="s">
        <v>27</v>
      </c>
      <c r="H46" s="418">
        <f>IF(G46='Response Guidlines'!$D$81,'Response Guidlines'!$C$81, IF(G46='Response Guidlines'!$D$82,'Response Guidlines'!$C$82,IF(G46='Response Guidlines'!$D$83,'Response Guidlines'!$C$83,IF(G46='Response Guidlines'!$D$84,'Response Guidlines'!$C$84,IF(G46='Response Guidlines'!$D$85,'Response Guidlines'!$C$85,IF(G46='Response Guidlines'!$D$86,'Response Guidlines'!$C$86,IF(G46='Response Guidlines'!$D$87,'Response Guidlines'!$C$87,"No Rating")))))))</f>
        <v>4</v>
      </c>
      <c r="I46" s="401" t="e">
        <f>(H46/$H$52)/_xlfn.XLOOKUP('Scoring Summary'!#REF!,'Response Guidlines'!$D$92:$D$191,'Response Guidlines'!$C$92:$C$191,"",0,1)</f>
        <v>#REF!</v>
      </c>
      <c r="J46" s="52" t="s">
        <v>542</v>
      </c>
      <c r="K46" s="51" t="e">
        <f>I46</f>
        <v>#REF!</v>
      </c>
      <c r="L46" s="653">
        <v>0</v>
      </c>
      <c r="M46" s="424"/>
    </row>
    <row r="47" spans="1:13" s="135" customFormat="1" ht="20" x14ac:dyDescent="0.35">
      <c r="A47" s="648"/>
      <c r="B47" s="412"/>
      <c r="C47" s="409"/>
      <c r="D47" s="407"/>
      <c r="E47" s="412"/>
      <c r="F47" s="409"/>
      <c r="G47" s="521"/>
      <c r="H47" s="418"/>
      <c r="I47" s="401"/>
      <c r="J47" s="52" t="s">
        <v>543</v>
      </c>
      <c r="K47" s="51">
        <v>0</v>
      </c>
      <c r="L47" s="646"/>
      <c r="M47" s="438"/>
    </row>
    <row r="48" spans="1:13" s="135" customFormat="1" ht="20" x14ac:dyDescent="0.35">
      <c r="A48" s="647" t="s">
        <v>544</v>
      </c>
      <c r="B48" s="412" t="s">
        <v>545</v>
      </c>
      <c r="C48" s="409" t="s">
        <v>546</v>
      </c>
      <c r="D48" s="407"/>
      <c r="E48" s="412"/>
      <c r="F48" s="409"/>
      <c r="G48" s="521" t="s">
        <v>27</v>
      </c>
      <c r="H48" s="418">
        <f>IF(G48='Response Guidlines'!$D$81,'Response Guidlines'!$C$81, IF(G48='Response Guidlines'!$D$82,'Response Guidlines'!$C$82,IF(G48='Response Guidlines'!$D$83,'Response Guidlines'!$C$83,IF(G48='Response Guidlines'!$D$84,'Response Guidlines'!$C$84,IF(G48='Response Guidlines'!$D$85,'Response Guidlines'!$C$85,IF(G48='Response Guidlines'!$D$86,'Response Guidlines'!$C$86,IF(G48='Response Guidlines'!$D$87,'Response Guidlines'!$C$87,"No Rating")))))))</f>
        <v>4</v>
      </c>
      <c r="I48" s="401" t="e">
        <f>(H48/$H$52)/_xlfn.XLOOKUP('Scoring Summary'!#REF!,'Response Guidlines'!$D$92:$D$191,'Response Guidlines'!$C$92:$C$191,"",0,1)</f>
        <v>#REF!</v>
      </c>
      <c r="J48" s="56" t="s">
        <v>547</v>
      </c>
      <c r="K48" s="55" t="e">
        <f>I48</f>
        <v>#REF!</v>
      </c>
      <c r="L48" s="653">
        <v>0</v>
      </c>
      <c r="M48" s="424"/>
    </row>
    <row r="49" spans="1:13" s="135" customFormat="1" ht="20" x14ac:dyDescent="0.35">
      <c r="A49" s="648"/>
      <c r="B49" s="412"/>
      <c r="C49" s="409"/>
      <c r="D49" s="407"/>
      <c r="E49" s="412"/>
      <c r="F49" s="409"/>
      <c r="G49" s="521"/>
      <c r="H49" s="418"/>
      <c r="I49" s="401"/>
      <c r="J49" s="52" t="s">
        <v>548</v>
      </c>
      <c r="K49" s="51">
        <v>0</v>
      </c>
      <c r="L49" s="646"/>
      <c r="M49" s="438"/>
    </row>
    <row r="50" spans="1:13" s="135" customFormat="1" ht="40" x14ac:dyDescent="0.35">
      <c r="A50" s="647" t="s">
        <v>549</v>
      </c>
      <c r="B50" s="409" t="s">
        <v>550</v>
      </c>
      <c r="C50" s="409" t="s">
        <v>551</v>
      </c>
      <c r="D50" s="407"/>
      <c r="E50" s="412"/>
      <c r="F50" s="409"/>
      <c r="G50" s="521" t="s">
        <v>28</v>
      </c>
      <c r="H50" s="418">
        <f>IF(G50='Response Guidlines'!$D$81,'Response Guidlines'!$C$81, IF(G50='Response Guidlines'!$D$82,'Response Guidlines'!$C$82,IF(G50='Response Guidlines'!$D$83,'Response Guidlines'!$C$83,IF(G50='Response Guidlines'!$D$84,'Response Guidlines'!$C$84,IF(G50='Response Guidlines'!$D$85,'Response Guidlines'!$C$85,IF(G50='Response Guidlines'!$D$86,'Response Guidlines'!$C$86,IF(G50='Response Guidlines'!$D$87,'Response Guidlines'!$C$87,"No Rating")))))))</f>
        <v>5</v>
      </c>
      <c r="I50" s="401" t="e">
        <f>(H50/$H$52)/_xlfn.XLOOKUP('Scoring Summary'!#REF!,'Response Guidlines'!$D$92:$D$191,'Response Guidlines'!$C$92:$C$191,"",0,1)</f>
        <v>#REF!</v>
      </c>
      <c r="J50" s="56" t="s">
        <v>552</v>
      </c>
      <c r="K50" s="136" t="e">
        <f>I50</f>
        <v>#REF!</v>
      </c>
      <c r="L50" s="653">
        <v>0</v>
      </c>
      <c r="M50" s="655"/>
    </row>
    <row r="51" spans="1:13" s="135" customFormat="1" ht="87.75" customHeight="1" thickBot="1" x14ac:dyDescent="0.4">
      <c r="A51" s="648"/>
      <c r="B51" s="409"/>
      <c r="C51" s="409"/>
      <c r="D51" s="407"/>
      <c r="E51" s="412"/>
      <c r="F51" s="409"/>
      <c r="G51" s="521"/>
      <c r="H51" s="418"/>
      <c r="I51" s="401"/>
      <c r="J51" s="52" t="s">
        <v>553</v>
      </c>
      <c r="K51" s="138">
        <v>0</v>
      </c>
      <c r="L51" s="646"/>
      <c r="M51" s="581"/>
    </row>
    <row r="52" spans="1:13" s="49" customFormat="1" ht="16.149999999999999" customHeight="1" thickBot="1" x14ac:dyDescent="0.4">
      <c r="A52" s="144"/>
      <c r="B52" s="82" t="s">
        <v>138</v>
      </c>
      <c r="C52" s="82"/>
      <c r="D52" s="82"/>
      <c r="E52" s="82"/>
      <c r="F52" s="82"/>
      <c r="G52" s="82"/>
      <c r="H52" s="145">
        <f>SUM(H12:H51)</f>
        <v>73</v>
      </c>
      <c r="I52" s="84" t="e">
        <f>SUM(I12:I51)</f>
        <v>#REF!</v>
      </c>
      <c r="J52" s="478" t="s">
        <v>139</v>
      </c>
      <c r="K52" s="479"/>
      <c r="L52" s="233">
        <f>SUM(L12:L51)</f>
        <v>0</v>
      </c>
      <c r="M52" s="81"/>
    </row>
    <row r="55" spans="1:13" ht="14" x14ac:dyDescent="0.35">
      <c r="C55" s="207"/>
    </row>
    <row r="58" spans="1:13" hidden="1" x14ac:dyDescent="0.35">
      <c r="B58" s="659" t="s">
        <v>550</v>
      </c>
      <c r="C58" s="658" t="s">
        <v>554</v>
      </c>
    </row>
    <row r="59" spans="1:13" hidden="1" x14ac:dyDescent="0.35">
      <c r="B59" s="659"/>
      <c r="C59" s="658"/>
    </row>
    <row r="60" spans="1:13" hidden="1" x14ac:dyDescent="0.35">
      <c r="B60" s="659"/>
      <c r="C60" s="658"/>
    </row>
    <row r="61" spans="1:13" hidden="1" x14ac:dyDescent="0.35">
      <c r="B61" s="659"/>
      <c r="C61" s="658"/>
    </row>
    <row r="62" spans="1:13" ht="78.75" hidden="1" customHeight="1" x14ac:dyDescent="0.35">
      <c r="B62" s="659"/>
      <c r="C62" s="658"/>
    </row>
  </sheetData>
  <mergeCells count="185">
    <mergeCell ref="C58:C62"/>
    <mergeCell ref="B58:B62"/>
    <mergeCell ref="L25:L27"/>
    <mergeCell ref="M25:M27"/>
    <mergeCell ref="A25:A27"/>
    <mergeCell ref="B25:B27"/>
    <mergeCell ref="C25:C27"/>
    <mergeCell ref="D25:D27"/>
    <mergeCell ref="E25:E27"/>
    <mergeCell ref="F25:F27"/>
    <mergeCell ref="G25:G27"/>
    <mergeCell ref="H25:H27"/>
    <mergeCell ref="I25:I27"/>
    <mergeCell ref="J52:K52"/>
    <mergeCell ref="F50:F51"/>
    <mergeCell ref="G50:G51"/>
    <mergeCell ref="H50:H51"/>
    <mergeCell ref="I50:I51"/>
    <mergeCell ref="L50:L51"/>
    <mergeCell ref="M50:M51"/>
    <mergeCell ref="G48:G49"/>
    <mergeCell ref="H48:H49"/>
    <mergeCell ref="I48:I49"/>
    <mergeCell ref="L48:L49"/>
    <mergeCell ref="M48:M49"/>
    <mergeCell ref="F48:F49"/>
    <mergeCell ref="A50:A51"/>
    <mergeCell ref="B50:B51"/>
    <mergeCell ref="C50:C51"/>
    <mergeCell ref="D50:D51"/>
    <mergeCell ref="E50:E51"/>
    <mergeCell ref="A48:A49"/>
    <mergeCell ref="B48:B49"/>
    <mergeCell ref="C48:C49"/>
    <mergeCell ref="D48:D49"/>
    <mergeCell ref="E48:E49"/>
    <mergeCell ref="F46:F47"/>
    <mergeCell ref="G46:G47"/>
    <mergeCell ref="H46:H47"/>
    <mergeCell ref="I46:I47"/>
    <mergeCell ref="L46:L47"/>
    <mergeCell ref="M46:M47"/>
    <mergeCell ref="G43:G45"/>
    <mergeCell ref="H43:H45"/>
    <mergeCell ref="I43:I45"/>
    <mergeCell ref="L43:L45"/>
    <mergeCell ref="M43:M45"/>
    <mergeCell ref="F43:F45"/>
    <mergeCell ref="A46:A47"/>
    <mergeCell ref="B46:B47"/>
    <mergeCell ref="C46:C47"/>
    <mergeCell ref="D46:D47"/>
    <mergeCell ref="E46:E47"/>
    <mergeCell ref="A43:A45"/>
    <mergeCell ref="B43:B45"/>
    <mergeCell ref="C43:C45"/>
    <mergeCell ref="D43:D45"/>
    <mergeCell ref="E43:E45"/>
    <mergeCell ref="F40:F42"/>
    <mergeCell ref="G40:G42"/>
    <mergeCell ref="H40:H42"/>
    <mergeCell ref="I40:I42"/>
    <mergeCell ref="L40:L42"/>
    <mergeCell ref="M40:M42"/>
    <mergeCell ref="G38:G39"/>
    <mergeCell ref="H38:H39"/>
    <mergeCell ref="I38:I39"/>
    <mergeCell ref="L38:L39"/>
    <mergeCell ref="M38:M39"/>
    <mergeCell ref="F38:F39"/>
    <mergeCell ref="A40:A42"/>
    <mergeCell ref="B40:B42"/>
    <mergeCell ref="C40:C42"/>
    <mergeCell ref="D40:D42"/>
    <mergeCell ref="E40:E42"/>
    <mergeCell ref="A38:A39"/>
    <mergeCell ref="B38:B39"/>
    <mergeCell ref="C38:C39"/>
    <mergeCell ref="D38:D39"/>
    <mergeCell ref="E38:E39"/>
    <mergeCell ref="F36:F37"/>
    <mergeCell ref="G36:G37"/>
    <mergeCell ref="H36:H37"/>
    <mergeCell ref="I36:I37"/>
    <mergeCell ref="L36:L37"/>
    <mergeCell ref="M36:M37"/>
    <mergeCell ref="G34:G35"/>
    <mergeCell ref="H34:H35"/>
    <mergeCell ref="I34:I35"/>
    <mergeCell ref="L34:L35"/>
    <mergeCell ref="M34:M35"/>
    <mergeCell ref="F34:F35"/>
    <mergeCell ref="A36:A37"/>
    <mergeCell ref="B36:B37"/>
    <mergeCell ref="C36:C37"/>
    <mergeCell ref="D36:D37"/>
    <mergeCell ref="E36:E37"/>
    <mergeCell ref="A34:A35"/>
    <mergeCell ref="B34:B35"/>
    <mergeCell ref="C34:C35"/>
    <mergeCell ref="D34:D35"/>
    <mergeCell ref="E34:E35"/>
    <mergeCell ref="F31:F33"/>
    <mergeCell ref="G31:G33"/>
    <mergeCell ref="H31:H33"/>
    <mergeCell ref="I31:I33"/>
    <mergeCell ref="L31:L33"/>
    <mergeCell ref="M31:M33"/>
    <mergeCell ref="G28:G30"/>
    <mergeCell ref="H28:H30"/>
    <mergeCell ref="I28:I30"/>
    <mergeCell ref="L28:L30"/>
    <mergeCell ref="M28:M30"/>
    <mergeCell ref="F28:F30"/>
    <mergeCell ref="A31:A33"/>
    <mergeCell ref="B31:B33"/>
    <mergeCell ref="C31:C33"/>
    <mergeCell ref="D31:D33"/>
    <mergeCell ref="E31:E33"/>
    <mergeCell ref="A28:A30"/>
    <mergeCell ref="B28:B30"/>
    <mergeCell ref="C28:C30"/>
    <mergeCell ref="D28:D30"/>
    <mergeCell ref="E28:E30"/>
    <mergeCell ref="F22:F24"/>
    <mergeCell ref="G22:G24"/>
    <mergeCell ref="H22:H24"/>
    <mergeCell ref="I22:I24"/>
    <mergeCell ref="L22:L24"/>
    <mergeCell ref="M22:M24"/>
    <mergeCell ref="G19:G21"/>
    <mergeCell ref="H19:H21"/>
    <mergeCell ref="I19:I21"/>
    <mergeCell ref="L19:L21"/>
    <mergeCell ref="M19:M21"/>
    <mergeCell ref="F19:F21"/>
    <mergeCell ref="A22:A24"/>
    <mergeCell ref="B22:B24"/>
    <mergeCell ref="C22:C24"/>
    <mergeCell ref="D22:D24"/>
    <mergeCell ref="E22:E24"/>
    <mergeCell ref="A19:A21"/>
    <mergeCell ref="B19:B21"/>
    <mergeCell ref="C19:C21"/>
    <mergeCell ref="D19:D21"/>
    <mergeCell ref="E19:E21"/>
    <mergeCell ref="F16:F18"/>
    <mergeCell ref="G16:G18"/>
    <mergeCell ref="H16:H18"/>
    <mergeCell ref="I16:I18"/>
    <mergeCell ref="L16:L18"/>
    <mergeCell ref="M16:M18"/>
    <mergeCell ref="G14:G15"/>
    <mergeCell ref="H14:H15"/>
    <mergeCell ref="I14:I15"/>
    <mergeCell ref="L14:L15"/>
    <mergeCell ref="M14:M15"/>
    <mergeCell ref="F14:F15"/>
    <mergeCell ref="A16:A18"/>
    <mergeCell ref="B16:B18"/>
    <mergeCell ref="C16:C18"/>
    <mergeCell ref="D16:D18"/>
    <mergeCell ref="E16:E18"/>
    <mergeCell ref="A14:A15"/>
    <mergeCell ref="B14:B15"/>
    <mergeCell ref="C14:C15"/>
    <mergeCell ref="D14:D15"/>
    <mergeCell ref="E14:E15"/>
    <mergeCell ref="E2:G4"/>
    <mergeCell ref="A10:A11"/>
    <mergeCell ref="B10:C10"/>
    <mergeCell ref="D10:F10"/>
    <mergeCell ref="F12:F13"/>
    <mergeCell ref="G12:G13"/>
    <mergeCell ref="H12:H13"/>
    <mergeCell ref="I12:I13"/>
    <mergeCell ref="L12:L13"/>
    <mergeCell ref="D8:F9"/>
    <mergeCell ref="J9:M9"/>
    <mergeCell ref="M12:M13"/>
    <mergeCell ref="A12:A13"/>
    <mergeCell ref="B12:B13"/>
    <mergeCell ref="C12:C13"/>
    <mergeCell ref="D12:D13"/>
    <mergeCell ref="E12:E13"/>
  </mergeCells>
  <phoneticPr fontId="34" type="noConversion"/>
  <dataValidations count="31">
    <dataValidation type="list" allowBlank="1" showInputMessage="1" showErrorMessage="1" sqref="D12:D13" xr:uid="{D105BD60-D9FB-407A-9E8B-64A58619857A}">
      <formula1>$J$12:$J$13</formula1>
    </dataValidation>
    <dataValidation type="list" allowBlank="1" showInputMessage="1" showErrorMessage="1" sqref="D14:D15" xr:uid="{DC3B5680-0FAF-4EAC-8CBD-623908231563}">
      <formula1>$J$14:$J$15</formula1>
    </dataValidation>
    <dataValidation type="list" allowBlank="1" showInputMessage="1" showErrorMessage="1" sqref="D16:D18" xr:uid="{EB60F0FF-23F3-43A4-931C-12A96FE93C8B}">
      <formula1>$J$16:$J$18</formula1>
    </dataValidation>
    <dataValidation type="list" allowBlank="1" showInputMessage="1" showErrorMessage="1" sqref="D19:D21" xr:uid="{DC551FCA-3BBD-4B95-A62A-243407438548}">
      <formula1>$J$19:$J$21</formula1>
    </dataValidation>
    <dataValidation type="list" allowBlank="1" showInputMessage="1" showErrorMessage="1" sqref="D22:D27" xr:uid="{2A75423E-8955-4890-B780-6001FB8D8886}">
      <formula1>$J$22:$J$24</formula1>
    </dataValidation>
    <dataValidation type="list" allowBlank="1" showInputMessage="1" showErrorMessage="1" sqref="D28:D30" xr:uid="{1BB474E6-9077-4038-84CB-2AF7A1F89BAD}">
      <formula1>$J$28:$J$30</formula1>
    </dataValidation>
    <dataValidation type="list" allowBlank="1" showInputMessage="1" showErrorMessage="1" sqref="D31:D33" xr:uid="{A46E4E8D-38AD-4E73-A8DE-7869F34C39B7}">
      <formula1>$J$31:$J$33</formula1>
    </dataValidation>
    <dataValidation type="list" allowBlank="1" showInputMessage="1" showErrorMessage="1" sqref="D34:D35" xr:uid="{80A211FC-3B53-42F8-9C25-5132A4C575CF}">
      <formula1>$J$34:$J$35</formula1>
    </dataValidation>
    <dataValidation type="list" allowBlank="1" showInputMessage="1" showErrorMessage="1" sqref="D36:D37" xr:uid="{4BDE2489-D32C-4167-A2AF-AB2FC6C8C0C1}">
      <formula1>$J$36:$J$37</formula1>
    </dataValidation>
    <dataValidation type="list" allowBlank="1" showInputMessage="1" showErrorMessage="1" sqref="D38:D39" xr:uid="{2D1A568B-3AB4-47EB-9068-7AA706DB1ED0}">
      <formula1>$J$38:$J$39</formula1>
    </dataValidation>
    <dataValidation type="list" allowBlank="1" showInputMessage="1" showErrorMessage="1" sqref="D40:D42" xr:uid="{51A74DBE-1174-440F-8B6D-D1CE82D03430}">
      <formula1>$J$40:$J$42</formula1>
    </dataValidation>
    <dataValidation type="list" allowBlank="1" showInputMessage="1" showErrorMessage="1" sqref="D43:D45" xr:uid="{A46008E2-A2AF-49EF-8583-49690E1CC70A}">
      <formula1>$J$43:$J$45</formula1>
    </dataValidation>
    <dataValidation type="list" allowBlank="1" showInputMessage="1" showErrorMessage="1" sqref="D46:D47" xr:uid="{7A1B4FDE-6B87-4AF5-ACAB-E64D1D4F3BBB}">
      <formula1>$J$46:$J$47</formula1>
    </dataValidation>
    <dataValidation type="list" allowBlank="1" showInputMessage="1" showErrorMessage="1" sqref="D48:D49" xr:uid="{063D25AF-A77C-40CE-886C-1BACC6775890}">
      <formula1>$J$48:$J$49</formula1>
    </dataValidation>
    <dataValidation type="list" allowBlank="1" showInputMessage="1" showErrorMessage="1" sqref="D50:D51" xr:uid="{3E0E6137-377A-4FDA-92B2-B7A84EAB5182}">
      <formula1>$J$50:$J$51</formula1>
    </dataValidation>
    <dataValidation type="list" allowBlank="1" showInputMessage="1" showErrorMessage="1" sqref="L12:L13" xr:uid="{B04C6711-0C74-4906-A7A5-CE1BB5A34892}">
      <formula1>$K$12:$K$13</formula1>
    </dataValidation>
    <dataValidation type="list" allowBlank="1" showInputMessage="1" showErrorMessage="1" sqref="L14:L15" xr:uid="{8C04CE20-A775-43C4-B578-412E3EFBB46B}">
      <formula1>$K$14:$K$15</formula1>
    </dataValidation>
    <dataValidation type="list" allowBlank="1" showInputMessage="1" showErrorMessage="1" sqref="L16:L18" xr:uid="{37AB4D25-2251-4BC0-9D8D-E0E1EC802EE3}">
      <formula1>$K$16:$K$18</formula1>
    </dataValidation>
    <dataValidation type="list" allowBlank="1" showInputMessage="1" showErrorMessage="1" sqref="L19:L21" xr:uid="{D8C9DED6-6AF4-475F-A8B2-2A9430CE24C6}">
      <formula1>$K$19:$K$21</formula1>
    </dataValidation>
    <dataValidation type="list" allowBlank="1" showInputMessage="1" showErrorMessage="1" sqref="L22:L24" xr:uid="{6C2DD94C-B245-4EFE-8DE8-1BDABD4DC65F}">
      <formula1>$K$22:$K$24</formula1>
    </dataValidation>
    <dataValidation type="list" allowBlank="1" showInputMessage="1" showErrorMessage="1" sqref="L25:L27" xr:uid="{A8F088F5-DF5C-4371-A2DC-61F9469C50F5}">
      <formula1>$K$25:$K$27</formula1>
    </dataValidation>
    <dataValidation type="list" allowBlank="1" showInputMessage="1" showErrorMessage="1" sqref="L28:L30" xr:uid="{E495397E-5268-4958-A4C8-C8E2ACE84338}">
      <formula1>$K$28:$K$30</formula1>
    </dataValidation>
    <dataValidation type="list" allowBlank="1" showInputMessage="1" showErrorMessage="1" sqref="L31:L33" xr:uid="{F91E3F6D-1942-4726-A3FF-26E50D8963AF}">
      <formula1>$K$31:$K$33</formula1>
    </dataValidation>
    <dataValidation type="list" allowBlank="1" showInputMessage="1" showErrorMessage="1" sqref="L34:L35" xr:uid="{566D9482-E8BB-4CEE-85A8-CDD424C76FB4}">
      <formula1>$K$34:$K$35</formula1>
    </dataValidation>
    <dataValidation type="list" allowBlank="1" showInputMessage="1" showErrorMessage="1" sqref="L36:L37" xr:uid="{A81BC1BA-4790-43F8-AA00-58601F7CC704}">
      <formula1>$K$36:$K$37</formula1>
    </dataValidation>
    <dataValidation type="list" allowBlank="1" showInputMessage="1" showErrorMessage="1" sqref="L38:L39" xr:uid="{5ADC3825-133C-4CEE-9DFD-D7CD9A71DEB7}">
      <formula1>$K$38:$K$39</formula1>
    </dataValidation>
    <dataValidation type="list" allowBlank="1" showInputMessage="1" showErrorMessage="1" sqref="L40:L42" xr:uid="{52ACA957-9AE0-4543-988C-E17E4A7C0222}">
      <formula1>$K$40:$K$42</formula1>
    </dataValidation>
    <dataValidation type="list" allowBlank="1" showInputMessage="1" showErrorMessage="1" sqref="L43:L45" xr:uid="{AE4B66F2-F74E-445D-95F0-038348FA76C7}">
      <formula1>$K$43:$K$45</formula1>
    </dataValidation>
    <dataValidation type="list" allowBlank="1" showInputMessage="1" showErrorMessage="1" sqref="L46:L47" xr:uid="{51C3A6AD-3BBB-4A31-9C73-9E99259034F0}">
      <formula1>$K$46:$K$47</formula1>
    </dataValidation>
    <dataValidation type="list" allowBlank="1" showInputMessage="1" showErrorMessage="1" sqref="L48:L49" xr:uid="{BE7B1516-8824-4FEB-A680-E77F34F1C4BD}">
      <formula1>$K$48:$K$49</formula1>
    </dataValidation>
    <dataValidation type="list" allowBlank="1" showInputMessage="1" showErrorMessage="1" sqref="L50:L51" xr:uid="{712B46B8-376C-4EEC-B6D6-D3FB4CBFDB5F}">
      <formula1>$K$50:$K$51</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04A049C-A964-4156-B638-0D9394ED21FA}">
          <x14:formula1>
            <xm:f>'Response Guidlines'!$D$81:$D$87</xm:f>
          </x14:formula1>
          <xm:sqref>G12:G51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302EF-11F8-49D9-8556-2E951180B3CF}">
  <sheetPr>
    <tabColor theme="0"/>
    <pageSetUpPr fitToPage="1"/>
  </sheetPr>
  <dimension ref="A1:M40"/>
  <sheetViews>
    <sheetView topLeftCell="C1" zoomScaleNormal="100" workbookViewId="0">
      <selection activeCell="D8" sqref="D8:M9"/>
    </sheetView>
  </sheetViews>
  <sheetFormatPr defaultColWidth="9.26953125" defaultRowHeight="10.5" x14ac:dyDescent="0.35"/>
  <cols>
    <col min="1" max="1" width="3.26953125" style="110" bestFit="1" customWidth="1"/>
    <col min="2" max="2" width="37.26953125" style="118" customWidth="1"/>
    <col min="3" max="3" width="34" style="118" customWidth="1"/>
    <col min="4" max="4" width="21.26953125" style="118" customWidth="1"/>
    <col min="5" max="5" width="28.26953125" style="118" customWidth="1"/>
    <col min="6" max="6" width="27.54296875" style="118" customWidth="1"/>
    <col min="7" max="7" width="10.26953125" style="118" customWidth="1"/>
    <col min="8" max="8" width="6.7265625" style="118" bestFit="1" customWidth="1"/>
    <col min="9" max="9" width="8.453125" style="112" customWidth="1"/>
    <col min="10" max="10" width="44.26953125" style="113" bestFit="1" customWidth="1"/>
    <col min="11" max="11" width="4.54296875" style="114" bestFit="1" customWidth="1"/>
    <col min="12" max="12" width="7.7265625" style="113" bestFit="1" customWidth="1"/>
    <col min="13" max="13" width="17.453125" style="115" bestFit="1" customWidth="1"/>
    <col min="14" max="14" width="8.54296875" style="113" customWidth="1"/>
    <col min="15" max="16384" width="9.26953125" style="113"/>
  </cols>
  <sheetData>
    <row r="1" spans="1:13" x14ac:dyDescent="0.35">
      <c r="B1" s="111"/>
      <c r="C1" s="111"/>
      <c r="D1" s="111"/>
      <c r="E1" s="111"/>
      <c r="F1" s="111"/>
      <c r="G1" s="111"/>
      <c r="H1" s="111"/>
    </row>
    <row r="2" spans="1:13" ht="14.65" customHeight="1" x14ac:dyDescent="0.35">
      <c r="B2" s="11" t="s">
        <v>51</v>
      </c>
      <c r="C2" s="116" t="str">
        <f>'Scoring Summary'!C2</f>
        <v>&lt;insert before tender publication&gt;</v>
      </c>
      <c r="D2" s="100"/>
      <c r="E2" s="390" t="s">
        <v>555</v>
      </c>
      <c r="F2" s="390"/>
      <c r="G2" s="390"/>
      <c r="H2" s="100"/>
      <c r="I2" s="100"/>
      <c r="J2" s="100"/>
      <c r="K2" s="100"/>
      <c r="L2" s="100"/>
      <c r="M2" s="100"/>
    </row>
    <row r="3" spans="1:13" ht="14.65" customHeight="1" x14ac:dyDescent="0.35">
      <c r="B3" s="11" t="s">
        <v>54</v>
      </c>
      <c r="C3" s="116" t="str">
        <f>'Scoring Summary'!C3</f>
        <v>IT00641 Dx Commercial Energy Trader (Dx CET)</v>
      </c>
      <c r="D3" s="100"/>
      <c r="E3" s="390"/>
      <c r="F3" s="390"/>
      <c r="G3" s="390"/>
      <c r="H3" s="100"/>
      <c r="I3" s="100"/>
      <c r="J3" s="100"/>
      <c r="K3" s="100"/>
      <c r="L3" s="100"/>
      <c r="M3" s="100"/>
    </row>
    <row r="4" spans="1:13" ht="14.65" customHeight="1" x14ac:dyDescent="0.35">
      <c r="B4" s="11" t="s">
        <v>55</v>
      </c>
      <c r="C4" s="116">
        <f>'Scoring Summary'!C4</f>
        <v>0.7</v>
      </c>
      <c r="D4" s="100"/>
      <c r="E4" s="390"/>
      <c r="F4" s="390"/>
      <c r="G4" s="390"/>
      <c r="H4" s="100"/>
      <c r="I4" s="100"/>
      <c r="J4" s="100"/>
      <c r="K4" s="100"/>
      <c r="L4" s="100"/>
      <c r="M4" s="100"/>
    </row>
    <row r="5" spans="1:13" ht="14.65" customHeight="1" x14ac:dyDescent="0.35">
      <c r="B5" s="11" t="s">
        <v>84</v>
      </c>
      <c r="C5" s="117" t="str">
        <f>'Scoring Summary'!C5</f>
        <v>&lt;Evaluator to complete&gt;</v>
      </c>
      <c r="D5" s="100"/>
      <c r="E5" s="75"/>
      <c r="F5" s="75"/>
      <c r="G5" s="75"/>
      <c r="H5" s="100"/>
      <c r="I5" s="100"/>
      <c r="J5" s="100"/>
      <c r="K5" s="100"/>
      <c r="L5" s="100"/>
      <c r="M5" s="100"/>
    </row>
    <row r="6" spans="1:13" ht="14.65" customHeight="1" x14ac:dyDescent="0.35">
      <c r="B6" s="11" t="s">
        <v>58</v>
      </c>
      <c r="C6" s="117" t="str">
        <f>'Scoring Summary'!C6</f>
        <v>&lt;Evaluator to complete&gt;</v>
      </c>
      <c r="D6" s="100"/>
      <c r="E6" s="100"/>
      <c r="F6" s="100"/>
      <c r="G6" s="100"/>
      <c r="H6" s="100"/>
      <c r="I6" s="100"/>
      <c r="J6" s="100"/>
      <c r="K6" s="100"/>
      <c r="L6" s="100"/>
      <c r="M6" s="100"/>
    </row>
    <row r="7" spans="1:13" ht="14.65" customHeight="1" x14ac:dyDescent="0.35">
      <c r="B7" s="11" t="s">
        <v>59</v>
      </c>
      <c r="C7" s="117" t="str">
        <f>'Scoring Summary'!C7</f>
        <v>&lt;Evaluator to complete&gt;</v>
      </c>
      <c r="D7" s="100"/>
      <c r="E7" s="100"/>
      <c r="F7" s="100"/>
      <c r="G7" s="100"/>
      <c r="H7" s="100"/>
      <c r="I7" s="100"/>
      <c r="J7" s="100"/>
      <c r="K7" s="100"/>
      <c r="L7" s="100"/>
      <c r="M7" s="100"/>
    </row>
    <row r="8" spans="1:13" ht="14" x14ac:dyDescent="0.3">
      <c r="B8" s="11" t="s">
        <v>60</v>
      </c>
      <c r="C8" s="117"/>
      <c r="D8" s="466" t="s">
        <v>1278</v>
      </c>
      <c r="E8" s="467"/>
      <c r="F8" s="468"/>
      <c r="G8" s="318"/>
      <c r="H8" s="318"/>
      <c r="I8" s="318"/>
      <c r="J8" s="318"/>
      <c r="K8" s="318"/>
      <c r="L8" s="318"/>
      <c r="M8" s="318"/>
    </row>
    <row r="9" spans="1:13" ht="13.5" thickBot="1" x14ac:dyDescent="0.35">
      <c r="B9" s="119"/>
      <c r="C9" s="119"/>
      <c r="D9" s="469"/>
      <c r="E9" s="470"/>
      <c r="F9" s="471"/>
      <c r="G9" s="319"/>
      <c r="H9" s="319"/>
      <c r="I9" s="320"/>
      <c r="J9" s="472" t="s">
        <v>1279</v>
      </c>
      <c r="K9" s="472"/>
      <c r="L9" s="472"/>
      <c r="M9" s="472"/>
    </row>
    <row r="10" spans="1:13" ht="14.65" customHeight="1" x14ac:dyDescent="0.35">
      <c r="A10" s="637" t="s">
        <v>85</v>
      </c>
      <c r="B10" s="639" t="s">
        <v>86</v>
      </c>
      <c r="C10" s="640"/>
      <c r="D10" s="641" t="s">
        <v>87</v>
      </c>
      <c r="E10" s="642"/>
      <c r="F10" s="642"/>
      <c r="G10" s="120"/>
      <c r="H10" s="121"/>
      <c r="I10" s="122" t="s">
        <v>88</v>
      </c>
      <c r="J10" s="123"/>
      <c r="K10" s="123"/>
      <c r="L10" s="123"/>
      <c r="M10" s="124"/>
    </row>
    <row r="11" spans="1:13" s="135" customFormat="1" ht="51" customHeight="1" thickBot="1" x14ac:dyDescent="0.4">
      <c r="A11" s="638"/>
      <c r="B11" s="125" t="s">
        <v>89</v>
      </c>
      <c r="C11" s="126" t="s">
        <v>62</v>
      </c>
      <c r="D11" s="127" t="s">
        <v>90</v>
      </c>
      <c r="E11" s="128" t="s">
        <v>64</v>
      </c>
      <c r="F11" s="128" t="s">
        <v>91</v>
      </c>
      <c r="G11" s="129" t="s">
        <v>92</v>
      </c>
      <c r="H11" s="130" t="s">
        <v>93</v>
      </c>
      <c r="I11" s="131" t="s">
        <v>94</v>
      </c>
      <c r="J11" s="132" t="s">
        <v>95</v>
      </c>
      <c r="K11" s="133" t="s">
        <v>96</v>
      </c>
      <c r="L11" s="234" t="s">
        <v>67</v>
      </c>
      <c r="M11" s="134" t="s">
        <v>68</v>
      </c>
    </row>
    <row r="12" spans="1:13" s="137" customFormat="1" ht="20" x14ac:dyDescent="0.35">
      <c r="A12" s="647" t="s">
        <v>556</v>
      </c>
      <c r="B12" s="445" t="s">
        <v>557</v>
      </c>
      <c r="C12" s="649" t="s">
        <v>558</v>
      </c>
      <c r="D12" s="651"/>
      <c r="E12" s="663" t="s">
        <v>146</v>
      </c>
      <c r="F12" s="643"/>
      <c r="G12" s="521" t="s">
        <v>28</v>
      </c>
      <c r="H12" s="433">
        <f>IF(G12='Response Guidlines'!$D$81,'Response Guidlines'!$C$81, IF(G12='Response Guidlines'!$D$82,'Response Guidlines'!$C$82,IF(G12='Response Guidlines'!$D$83,'Response Guidlines'!$C$83,IF(G12='Response Guidlines'!$D$84,'Response Guidlines'!$C$84,IF(G12='Response Guidlines'!$D$85,'Response Guidlines'!$C$85,IF(G12='Response Guidlines'!$D$86,'Response Guidlines'!$C$86,IF(G12='Response Guidlines'!$D$87,'Response Guidlines'!$C$87,"No Rating")))))))</f>
        <v>5</v>
      </c>
      <c r="I12" s="420" t="e">
        <f>(H12/$H$40)/_xlfn.XLOOKUP('Scoring Summary'!#REF!,'Response Guidlines'!$D$92:$D$191,'Response Guidlines'!$C$92:$C$191,"",0,1)</f>
        <v>#REF!</v>
      </c>
      <c r="J12" s="56" t="s">
        <v>559</v>
      </c>
      <c r="K12" s="136" t="e">
        <f>I12</f>
        <v>#REF!</v>
      </c>
      <c r="L12" s="523">
        <v>0</v>
      </c>
      <c r="M12" s="581"/>
    </row>
    <row r="13" spans="1:13" s="137" customFormat="1" ht="10" x14ac:dyDescent="0.35">
      <c r="A13" s="647"/>
      <c r="B13" s="412"/>
      <c r="C13" s="650"/>
      <c r="D13" s="488"/>
      <c r="E13" s="490"/>
      <c r="F13" s="644"/>
      <c r="G13" s="521"/>
      <c r="H13" s="433"/>
      <c r="I13" s="401"/>
      <c r="J13" s="52" t="s">
        <v>560</v>
      </c>
      <c r="K13" s="138" t="e">
        <f>K12/2</f>
        <v>#REF!</v>
      </c>
      <c r="L13" s="435"/>
      <c r="M13" s="664"/>
    </row>
    <row r="14" spans="1:13" s="137" customFormat="1" ht="10" x14ac:dyDescent="0.35">
      <c r="A14" s="648"/>
      <c r="B14" s="412"/>
      <c r="C14" s="650"/>
      <c r="D14" s="488"/>
      <c r="E14" s="490"/>
      <c r="F14" s="644"/>
      <c r="G14" s="521"/>
      <c r="H14" s="433"/>
      <c r="I14" s="401"/>
      <c r="J14" s="52" t="s">
        <v>561</v>
      </c>
      <c r="K14" s="138">
        <v>0</v>
      </c>
      <c r="L14" s="435"/>
      <c r="M14" s="664"/>
    </row>
    <row r="15" spans="1:13" s="135" customFormat="1" ht="10" x14ac:dyDescent="0.35">
      <c r="A15" s="660" t="s">
        <v>562</v>
      </c>
      <c r="B15" s="412" t="s">
        <v>563</v>
      </c>
      <c r="C15" s="650" t="s">
        <v>564</v>
      </c>
      <c r="D15" s="661"/>
      <c r="E15" s="490"/>
      <c r="F15" s="644"/>
      <c r="G15" s="521" t="s">
        <v>28</v>
      </c>
      <c r="H15" s="432">
        <f>IF(G15='Response Guidlines'!$D$81,'Response Guidlines'!$C$81, IF(G15='Response Guidlines'!$D$82,'Response Guidlines'!$C$82,IF(G15='Response Guidlines'!$D$83,'Response Guidlines'!$C$83,IF(G15='Response Guidlines'!$D$84,'Response Guidlines'!$C$84,IF(G15='Response Guidlines'!$D$85,'Response Guidlines'!$C$85,IF(G15='Response Guidlines'!$D$86,'Response Guidlines'!$C$86,IF(G15='Response Guidlines'!$D$87,'Response Guidlines'!$C$87,"No Rating")))))))</f>
        <v>5</v>
      </c>
      <c r="I15" s="420" t="e">
        <f>(H15/$H$40)/_xlfn.XLOOKUP('Scoring Summary'!#REF!,'Response Guidlines'!$D$92:$D$191,'Response Guidlines'!$C$92:$C$191,"",0,1)</f>
        <v>#REF!</v>
      </c>
      <c r="J15" s="56" t="s">
        <v>565</v>
      </c>
      <c r="K15" s="136" t="e">
        <f>I15</f>
        <v>#REF!</v>
      </c>
      <c r="L15" s="435">
        <v>0</v>
      </c>
      <c r="M15" s="664"/>
    </row>
    <row r="16" spans="1:13" s="135" customFormat="1" ht="10" x14ac:dyDescent="0.35">
      <c r="A16" s="647"/>
      <c r="B16" s="412"/>
      <c r="C16" s="650"/>
      <c r="D16" s="662"/>
      <c r="E16" s="490"/>
      <c r="F16" s="644"/>
      <c r="G16" s="521"/>
      <c r="H16" s="433"/>
      <c r="I16" s="401"/>
      <c r="J16" s="56" t="s">
        <v>566</v>
      </c>
      <c r="K16" s="138" t="e">
        <f>K15/2</f>
        <v>#REF!</v>
      </c>
      <c r="L16" s="435"/>
      <c r="M16" s="664"/>
    </row>
    <row r="17" spans="1:13" s="135" customFormat="1" ht="10" x14ac:dyDescent="0.35">
      <c r="A17" s="648"/>
      <c r="B17" s="412"/>
      <c r="C17" s="650"/>
      <c r="D17" s="651"/>
      <c r="E17" s="490"/>
      <c r="F17" s="644"/>
      <c r="G17" s="521"/>
      <c r="H17" s="433"/>
      <c r="I17" s="401"/>
      <c r="J17" s="56" t="s">
        <v>567</v>
      </c>
      <c r="K17" s="138">
        <v>0</v>
      </c>
      <c r="L17" s="435"/>
      <c r="M17" s="664"/>
    </row>
    <row r="18" spans="1:13" s="135" customFormat="1" ht="10" x14ac:dyDescent="0.35">
      <c r="A18" s="660" t="s">
        <v>568</v>
      </c>
      <c r="B18" s="412" t="s">
        <v>569</v>
      </c>
      <c r="C18" s="650" t="s">
        <v>570</v>
      </c>
      <c r="D18" s="661"/>
      <c r="E18" s="490"/>
      <c r="F18" s="644"/>
      <c r="G18" s="521" t="s">
        <v>28</v>
      </c>
      <c r="H18" s="432">
        <f>IF(G18='Response Guidlines'!$D$81,'Response Guidlines'!$C$81, IF(G18='Response Guidlines'!$D$82,'Response Guidlines'!$C$82,IF(G18='Response Guidlines'!$D$83,'Response Guidlines'!$C$83,IF(G18='Response Guidlines'!$D$84,'Response Guidlines'!$C$84,IF(G18='Response Guidlines'!$D$85,'Response Guidlines'!$C$85,IF(G18='Response Guidlines'!$D$86,'Response Guidlines'!$C$86,IF(G18='Response Guidlines'!$D$87,'Response Guidlines'!$C$87,"No Rating")))))))</f>
        <v>5</v>
      </c>
      <c r="I18" s="420" t="e">
        <f>(H18/$H$40)/_xlfn.XLOOKUP('Scoring Summary'!#REF!,'Response Guidlines'!$D$92:$D$191,'Response Guidlines'!$C$92:$C$191,"",0,1)</f>
        <v>#REF!</v>
      </c>
      <c r="J18" s="56" t="s">
        <v>571</v>
      </c>
      <c r="K18" s="136" t="e">
        <f>I18</f>
        <v>#REF!</v>
      </c>
      <c r="L18" s="435">
        <v>0</v>
      </c>
      <c r="M18" s="404"/>
    </row>
    <row r="19" spans="1:13" s="135" customFormat="1" ht="10" x14ac:dyDescent="0.35">
      <c r="A19" s="647"/>
      <c r="B19" s="412"/>
      <c r="C19" s="650"/>
      <c r="D19" s="662"/>
      <c r="E19" s="490"/>
      <c r="F19" s="644"/>
      <c r="G19" s="521"/>
      <c r="H19" s="433"/>
      <c r="I19" s="401"/>
      <c r="J19" s="56" t="s">
        <v>572</v>
      </c>
      <c r="K19" s="138" t="e">
        <f>K18/2</f>
        <v>#REF!</v>
      </c>
      <c r="L19" s="436"/>
      <c r="M19" s="424"/>
    </row>
    <row r="20" spans="1:13" s="135" customFormat="1" ht="10" x14ac:dyDescent="0.35">
      <c r="A20" s="648"/>
      <c r="B20" s="412"/>
      <c r="C20" s="650"/>
      <c r="D20" s="651"/>
      <c r="E20" s="490"/>
      <c r="F20" s="644"/>
      <c r="G20" s="521"/>
      <c r="H20" s="433"/>
      <c r="I20" s="401"/>
      <c r="J20" s="52" t="s">
        <v>573</v>
      </c>
      <c r="K20" s="138">
        <v>0</v>
      </c>
      <c r="L20" s="435"/>
      <c r="M20" s="404"/>
    </row>
    <row r="21" spans="1:13" s="135" customFormat="1" ht="10" x14ac:dyDescent="0.35">
      <c r="A21" s="660" t="s">
        <v>574</v>
      </c>
      <c r="B21" s="412" t="s">
        <v>575</v>
      </c>
      <c r="C21" s="650" t="s">
        <v>576</v>
      </c>
      <c r="D21" s="661"/>
      <c r="E21" s="490"/>
      <c r="F21" s="644"/>
      <c r="G21" s="521" t="s">
        <v>28</v>
      </c>
      <c r="H21" s="432">
        <f>IF(G21='Response Guidlines'!$D$81,'Response Guidlines'!$C$81, IF(G21='Response Guidlines'!$D$82,'Response Guidlines'!$C$82,IF(G21='Response Guidlines'!$D$83,'Response Guidlines'!$C$83,IF(G21='Response Guidlines'!$D$84,'Response Guidlines'!$C$84,IF(G21='Response Guidlines'!$D$85,'Response Guidlines'!$C$85,IF(G21='Response Guidlines'!$D$86,'Response Guidlines'!$C$86,IF(G21='Response Guidlines'!$D$87,'Response Guidlines'!$C$87,"No Rating")))))))</f>
        <v>5</v>
      </c>
      <c r="I21" s="420" t="e">
        <f>(H21/$H$40)/_xlfn.XLOOKUP('Scoring Summary'!#REF!,'Response Guidlines'!$D$92:$D$191,'Response Guidlines'!$C$92:$C$191,"",0,1)</f>
        <v>#REF!</v>
      </c>
      <c r="J21" s="56" t="s">
        <v>577</v>
      </c>
      <c r="K21" s="136" t="e">
        <f>I21</f>
        <v>#REF!</v>
      </c>
      <c r="L21" s="523">
        <v>0</v>
      </c>
      <c r="M21" s="438"/>
    </row>
    <row r="22" spans="1:13" s="135" customFormat="1" ht="10" x14ac:dyDescent="0.35">
      <c r="A22" s="647"/>
      <c r="B22" s="412"/>
      <c r="C22" s="650"/>
      <c r="D22" s="662"/>
      <c r="E22" s="490"/>
      <c r="F22" s="644"/>
      <c r="G22" s="521"/>
      <c r="H22" s="433"/>
      <c r="I22" s="401"/>
      <c r="J22" s="56" t="s">
        <v>578</v>
      </c>
      <c r="K22" s="138" t="e">
        <f>K21/2</f>
        <v>#REF!</v>
      </c>
      <c r="L22" s="435"/>
      <c r="M22" s="404"/>
    </row>
    <row r="23" spans="1:13" s="135" customFormat="1" ht="10" x14ac:dyDescent="0.35">
      <c r="A23" s="648"/>
      <c r="B23" s="446"/>
      <c r="C23" s="665"/>
      <c r="D23" s="651"/>
      <c r="E23" s="490"/>
      <c r="F23" s="644"/>
      <c r="G23" s="521"/>
      <c r="H23" s="433"/>
      <c r="I23" s="401"/>
      <c r="J23" s="56" t="s">
        <v>579</v>
      </c>
      <c r="K23" s="138">
        <v>0</v>
      </c>
      <c r="L23" s="435"/>
      <c r="M23" s="404"/>
    </row>
    <row r="24" spans="1:13" s="135" customFormat="1" ht="10" x14ac:dyDescent="0.35">
      <c r="A24" s="660" t="s">
        <v>580</v>
      </c>
      <c r="B24" s="412" t="s">
        <v>581</v>
      </c>
      <c r="C24" s="650" t="s">
        <v>582</v>
      </c>
      <c r="D24" s="488"/>
      <c r="E24" s="490"/>
      <c r="F24" s="644"/>
      <c r="G24" s="521" t="s">
        <v>28</v>
      </c>
      <c r="H24" s="432">
        <f>IF(G24='Response Guidlines'!$D$81,'Response Guidlines'!$C$81, IF(G24='Response Guidlines'!$D$82,'Response Guidlines'!$C$82,IF(G24='Response Guidlines'!$D$83,'Response Guidlines'!$C$83,IF(G24='Response Guidlines'!$D$84,'Response Guidlines'!$C$84,IF(G24='Response Guidlines'!$D$85,'Response Guidlines'!$C$85,IF(G24='Response Guidlines'!$D$86,'Response Guidlines'!$C$86,IF(G24='Response Guidlines'!$D$87,'Response Guidlines'!$C$87,"No Rating")))))))</f>
        <v>5</v>
      </c>
      <c r="I24" s="420" t="e">
        <f>(H24/$H$40)/_xlfn.XLOOKUP('Scoring Summary'!#REF!,'Response Guidlines'!$D$92:$D$191,'Response Guidlines'!$C$92:$C$191,"",0,1)</f>
        <v>#REF!</v>
      </c>
      <c r="J24" s="56" t="s">
        <v>583</v>
      </c>
      <c r="K24" s="136" t="e">
        <f>I24</f>
        <v>#REF!</v>
      </c>
      <c r="L24" s="435">
        <v>0</v>
      </c>
      <c r="M24" s="404"/>
    </row>
    <row r="25" spans="1:13" s="135" customFormat="1" ht="10" x14ac:dyDescent="0.35">
      <c r="A25" s="647"/>
      <c r="B25" s="412"/>
      <c r="C25" s="650"/>
      <c r="D25" s="488"/>
      <c r="E25" s="490"/>
      <c r="F25" s="644"/>
      <c r="G25" s="521"/>
      <c r="H25" s="433"/>
      <c r="I25" s="401"/>
      <c r="J25" s="52" t="s">
        <v>584</v>
      </c>
      <c r="K25" s="138">
        <v>6.0000000000000001E-3</v>
      </c>
      <c r="L25" s="435"/>
      <c r="M25" s="404"/>
    </row>
    <row r="26" spans="1:13" s="135" customFormat="1" ht="20" x14ac:dyDescent="0.35">
      <c r="A26" s="647"/>
      <c r="B26" s="412"/>
      <c r="C26" s="650"/>
      <c r="D26" s="488"/>
      <c r="E26" s="490"/>
      <c r="F26" s="644"/>
      <c r="G26" s="521"/>
      <c r="H26" s="433"/>
      <c r="I26" s="401"/>
      <c r="J26" s="52" t="s">
        <v>585</v>
      </c>
      <c r="K26" s="138">
        <v>3.0000000000000001E-3</v>
      </c>
      <c r="L26" s="436"/>
      <c r="M26" s="424"/>
    </row>
    <row r="27" spans="1:13" s="135" customFormat="1" ht="28.5" customHeight="1" x14ac:dyDescent="0.35">
      <c r="A27" s="648"/>
      <c r="B27" s="412"/>
      <c r="C27" s="650"/>
      <c r="D27" s="488"/>
      <c r="E27" s="490"/>
      <c r="F27" s="644"/>
      <c r="G27" s="521"/>
      <c r="H27" s="433"/>
      <c r="I27" s="401"/>
      <c r="J27" s="52" t="s">
        <v>586</v>
      </c>
      <c r="K27" s="138">
        <v>0</v>
      </c>
      <c r="L27" s="435"/>
      <c r="M27" s="404"/>
    </row>
    <row r="28" spans="1:13" s="135" customFormat="1" ht="10" x14ac:dyDescent="0.35">
      <c r="A28" s="660" t="s">
        <v>587</v>
      </c>
      <c r="B28" s="412" t="s">
        <v>588</v>
      </c>
      <c r="C28" s="650" t="s">
        <v>589</v>
      </c>
      <c r="D28" s="488"/>
      <c r="E28" s="490"/>
      <c r="F28" s="644"/>
      <c r="G28" s="521" t="s">
        <v>28</v>
      </c>
      <c r="H28" s="432">
        <f>IF(G28='Response Guidlines'!$D$81,'Response Guidlines'!$C$81, IF(G28='Response Guidlines'!$D$82,'Response Guidlines'!$C$82,IF(G28='Response Guidlines'!$D$83,'Response Guidlines'!$C$83,IF(G28='Response Guidlines'!$D$84,'Response Guidlines'!$C$84,IF(G28='Response Guidlines'!$D$85,'Response Guidlines'!$C$85,IF(G28='Response Guidlines'!$D$86,'Response Guidlines'!$C$86,IF(G28='Response Guidlines'!$D$87,'Response Guidlines'!$C$87,"No Rating")))))))</f>
        <v>5</v>
      </c>
      <c r="I28" s="420" t="e">
        <f>(H28/$H$40)/_xlfn.XLOOKUP('Scoring Summary'!#REF!,'Response Guidlines'!$D$92:$D$191,'Response Guidlines'!$C$92:$C$191,"",0,1)</f>
        <v>#REF!</v>
      </c>
      <c r="J28" s="56" t="s">
        <v>590</v>
      </c>
      <c r="K28" s="136" t="e">
        <f>I28</f>
        <v>#REF!</v>
      </c>
      <c r="L28" s="523">
        <v>0</v>
      </c>
      <c r="M28" s="438"/>
    </row>
    <row r="29" spans="1:13" s="135" customFormat="1" ht="10" x14ac:dyDescent="0.35">
      <c r="A29" s="647"/>
      <c r="B29" s="412"/>
      <c r="C29" s="650"/>
      <c r="D29" s="488"/>
      <c r="E29" s="490"/>
      <c r="F29" s="644"/>
      <c r="G29" s="521"/>
      <c r="H29" s="433"/>
      <c r="I29" s="401"/>
      <c r="J29" s="56" t="s">
        <v>591</v>
      </c>
      <c r="K29" s="138" t="e">
        <f>K28/2</f>
        <v>#REF!</v>
      </c>
      <c r="L29" s="435"/>
      <c r="M29" s="404"/>
    </row>
    <row r="30" spans="1:13" s="135" customFormat="1" ht="10" x14ac:dyDescent="0.35">
      <c r="A30" s="648"/>
      <c r="B30" s="412"/>
      <c r="C30" s="650"/>
      <c r="D30" s="488"/>
      <c r="E30" s="490"/>
      <c r="F30" s="644"/>
      <c r="G30" s="521"/>
      <c r="H30" s="433"/>
      <c r="I30" s="401"/>
      <c r="J30" s="56" t="s">
        <v>592</v>
      </c>
      <c r="K30" s="138">
        <v>0</v>
      </c>
      <c r="L30" s="435"/>
      <c r="M30" s="404"/>
    </row>
    <row r="31" spans="1:13" s="135" customFormat="1" ht="10" x14ac:dyDescent="0.35">
      <c r="A31" s="660" t="s">
        <v>593</v>
      </c>
      <c r="B31" s="412" t="s">
        <v>594</v>
      </c>
      <c r="C31" s="650" t="s">
        <v>595</v>
      </c>
      <c r="D31" s="488"/>
      <c r="E31" s="490"/>
      <c r="F31" s="644"/>
      <c r="G31" s="521" t="s">
        <v>28</v>
      </c>
      <c r="H31" s="432">
        <f>IF(G31='Response Guidlines'!$D$81,'Response Guidlines'!$C$81, IF(G31='Response Guidlines'!$D$82,'Response Guidlines'!$C$82,IF(G31='Response Guidlines'!$D$83,'Response Guidlines'!$C$83,IF(G31='Response Guidlines'!$D$84,'Response Guidlines'!$C$84,IF(G31='Response Guidlines'!$D$85,'Response Guidlines'!$C$85,IF(G31='Response Guidlines'!$D$86,'Response Guidlines'!$C$86,IF(G31='Response Guidlines'!$D$87,'Response Guidlines'!$C$87,"No Rating")))))))</f>
        <v>5</v>
      </c>
      <c r="I31" s="420" t="e">
        <f>(H31/$H$40)/_xlfn.XLOOKUP('Scoring Summary'!#REF!,'Response Guidlines'!$D$92:$D$191,'Response Guidlines'!$C$92:$C$191,"",0,1)</f>
        <v>#REF!</v>
      </c>
      <c r="J31" s="56" t="s">
        <v>596</v>
      </c>
      <c r="K31" s="136" t="e">
        <f>I31</f>
        <v>#REF!</v>
      </c>
      <c r="L31" s="436">
        <v>0</v>
      </c>
      <c r="M31" s="404"/>
    </row>
    <row r="32" spans="1:13" s="135" customFormat="1" ht="10" x14ac:dyDescent="0.35">
      <c r="A32" s="647"/>
      <c r="B32" s="412"/>
      <c r="C32" s="650"/>
      <c r="D32" s="488"/>
      <c r="E32" s="490"/>
      <c r="F32" s="644"/>
      <c r="G32" s="521"/>
      <c r="H32" s="433"/>
      <c r="I32" s="401"/>
      <c r="J32" s="52" t="s">
        <v>597</v>
      </c>
      <c r="K32" s="138" t="e">
        <f>K31/2</f>
        <v>#REF!</v>
      </c>
      <c r="L32" s="522"/>
      <c r="M32" s="404"/>
    </row>
    <row r="33" spans="1:13" s="135" customFormat="1" ht="10" x14ac:dyDescent="0.35">
      <c r="A33" s="648"/>
      <c r="B33" s="412"/>
      <c r="C33" s="650"/>
      <c r="D33" s="488"/>
      <c r="E33" s="490"/>
      <c r="F33" s="644"/>
      <c r="G33" s="521"/>
      <c r="H33" s="433"/>
      <c r="I33" s="401"/>
      <c r="J33" s="52" t="s">
        <v>592</v>
      </c>
      <c r="K33" s="138">
        <v>0</v>
      </c>
      <c r="L33" s="523"/>
      <c r="M33" s="404"/>
    </row>
    <row r="34" spans="1:13" s="135" customFormat="1" ht="10" x14ac:dyDescent="0.35">
      <c r="A34" s="660" t="s">
        <v>598</v>
      </c>
      <c r="B34" s="412" t="s">
        <v>599</v>
      </c>
      <c r="C34" s="650" t="s">
        <v>600</v>
      </c>
      <c r="D34" s="488"/>
      <c r="E34" s="490"/>
      <c r="F34" s="644"/>
      <c r="G34" s="521" t="s">
        <v>28</v>
      </c>
      <c r="H34" s="432">
        <f>IF(G34='Response Guidlines'!$D$81,'Response Guidlines'!$C$81, IF(G34='Response Guidlines'!$D$82,'Response Guidlines'!$C$82,IF(G34='Response Guidlines'!$D$83,'Response Guidlines'!$C$83,IF(G34='Response Guidlines'!$D$84,'Response Guidlines'!$C$84,IF(G34='Response Guidlines'!$D$85,'Response Guidlines'!$C$85,IF(G34='Response Guidlines'!$D$86,'Response Guidlines'!$C$86,IF(G34='Response Guidlines'!$D$87,'Response Guidlines'!$C$87,"No Rating")))))))</f>
        <v>5</v>
      </c>
      <c r="I34" s="420" t="e">
        <f>(H34/$H$40)/_xlfn.XLOOKUP('Scoring Summary'!#REF!,'Response Guidlines'!$D$92:$D$191,'Response Guidlines'!$C$92:$C$191,"",0,1)</f>
        <v>#REF!</v>
      </c>
      <c r="J34" s="56" t="s">
        <v>601</v>
      </c>
      <c r="K34" s="136" t="e">
        <f>I34</f>
        <v>#REF!</v>
      </c>
      <c r="L34" s="523">
        <v>0</v>
      </c>
      <c r="M34" s="581"/>
    </row>
    <row r="35" spans="1:13" s="135" customFormat="1" ht="10" x14ac:dyDescent="0.35">
      <c r="A35" s="647"/>
      <c r="B35" s="412"/>
      <c r="C35" s="650"/>
      <c r="D35" s="488"/>
      <c r="E35" s="490"/>
      <c r="F35" s="644"/>
      <c r="G35" s="521"/>
      <c r="H35" s="433"/>
      <c r="I35" s="401"/>
      <c r="J35" s="56" t="s">
        <v>602</v>
      </c>
      <c r="K35" s="138" t="e">
        <f>K34/2</f>
        <v>#REF!</v>
      </c>
      <c r="L35" s="435"/>
      <c r="M35" s="664"/>
    </row>
    <row r="36" spans="1:13" s="135" customFormat="1" ht="10" x14ac:dyDescent="0.35">
      <c r="A36" s="648"/>
      <c r="B36" s="412"/>
      <c r="C36" s="650"/>
      <c r="D36" s="488"/>
      <c r="E36" s="490"/>
      <c r="F36" s="644"/>
      <c r="G36" s="521"/>
      <c r="H36" s="433"/>
      <c r="I36" s="401"/>
      <c r="J36" s="56" t="s">
        <v>592</v>
      </c>
      <c r="K36" s="138">
        <v>0</v>
      </c>
      <c r="L36" s="435"/>
      <c r="M36" s="664"/>
    </row>
    <row r="37" spans="1:13" s="135" customFormat="1" ht="20" x14ac:dyDescent="0.35">
      <c r="A37" s="660" t="s">
        <v>603</v>
      </c>
      <c r="B37" s="412" t="s">
        <v>604</v>
      </c>
      <c r="C37" s="650" t="s">
        <v>605</v>
      </c>
      <c r="D37" s="488"/>
      <c r="E37" s="490"/>
      <c r="F37" s="644"/>
      <c r="G37" s="521" t="s">
        <v>28</v>
      </c>
      <c r="H37" s="432">
        <f>IF(G37='Response Guidlines'!$D$81,'Response Guidlines'!$C$81, IF(G37='Response Guidlines'!$D$82,'Response Guidlines'!$C$82,IF(G37='Response Guidlines'!$D$83,'Response Guidlines'!$C$83,IF(G37='Response Guidlines'!$D$84,'Response Guidlines'!$C$84,IF(G37='Response Guidlines'!$D$85,'Response Guidlines'!$C$85,IF(G37='Response Guidlines'!$D$86,'Response Guidlines'!$C$86,IF(G37='Response Guidlines'!$D$87,'Response Guidlines'!$C$87,"No Rating")))))))</f>
        <v>5</v>
      </c>
      <c r="I37" s="420" t="e">
        <f>(H37/$H$40)/_xlfn.XLOOKUP('Scoring Summary'!#REF!,'Response Guidlines'!$D$92:$D$191,'Response Guidlines'!$C$92:$C$191,"",0,1)</f>
        <v>#REF!</v>
      </c>
      <c r="J37" s="101" t="s">
        <v>606</v>
      </c>
      <c r="K37" s="136" t="e">
        <f>I37</f>
        <v>#REF!</v>
      </c>
      <c r="L37" s="435">
        <v>0</v>
      </c>
      <c r="M37" s="404"/>
    </row>
    <row r="38" spans="1:13" s="135" customFormat="1" ht="20" x14ac:dyDescent="0.35">
      <c r="A38" s="647"/>
      <c r="B38" s="412"/>
      <c r="C38" s="650"/>
      <c r="D38" s="488"/>
      <c r="E38" s="490"/>
      <c r="F38" s="644"/>
      <c r="G38" s="521"/>
      <c r="H38" s="433"/>
      <c r="I38" s="401"/>
      <c r="J38" s="102" t="s">
        <v>607</v>
      </c>
      <c r="K38" s="138" t="e">
        <f>K37/2</f>
        <v>#REF!</v>
      </c>
      <c r="L38" s="436"/>
      <c r="M38" s="424"/>
    </row>
    <row r="39" spans="1:13" s="135" customFormat="1" thickBot="1" x14ac:dyDescent="0.4">
      <c r="A39" s="648"/>
      <c r="B39" s="412"/>
      <c r="C39" s="650"/>
      <c r="D39" s="488"/>
      <c r="E39" s="490"/>
      <c r="F39" s="644"/>
      <c r="G39" s="521"/>
      <c r="H39" s="433"/>
      <c r="I39" s="401"/>
      <c r="J39" s="101" t="s">
        <v>592</v>
      </c>
      <c r="K39" s="138">
        <v>0</v>
      </c>
      <c r="L39" s="435"/>
      <c r="M39" s="404"/>
    </row>
    <row r="40" spans="1:13" s="49" customFormat="1" ht="16.149999999999999" customHeight="1" thickBot="1" x14ac:dyDescent="0.4">
      <c r="A40" s="144"/>
      <c r="B40" s="82" t="s">
        <v>138</v>
      </c>
      <c r="C40" s="82"/>
      <c r="D40" s="82"/>
      <c r="E40" s="82"/>
      <c r="F40" s="82"/>
      <c r="G40" s="82"/>
      <c r="H40" s="145">
        <f>SUM(H12:H39)</f>
        <v>45</v>
      </c>
      <c r="I40" s="84" t="e">
        <f>SUM(I12:I39)</f>
        <v>#REF!</v>
      </c>
      <c r="J40" s="478" t="s">
        <v>139</v>
      </c>
      <c r="K40" s="479"/>
      <c r="L40" s="84">
        <f>SUM(L12:L39)</f>
        <v>0</v>
      </c>
      <c r="M40" s="81"/>
    </row>
  </sheetData>
  <mergeCells count="106">
    <mergeCell ref="J9:M9"/>
    <mergeCell ref="M37:M39"/>
    <mergeCell ref="F37:F39"/>
    <mergeCell ref="J40:K40"/>
    <mergeCell ref="A37:A39"/>
    <mergeCell ref="B37:B39"/>
    <mergeCell ref="C37:C39"/>
    <mergeCell ref="D37:D39"/>
    <mergeCell ref="E37:E39"/>
    <mergeCell ref="G37:G39"/>
    <mergeCell ref="H37:H39"/>
    <mergeCell ref="I37:I39"/>
    <mergeCell ref="L37:L39"/>
    <mergeCell ref="F34:F36"/>
    <mergeCell ref="G34:G36"/>
    <mergeCell ref="H34:H36"/>
    <mergeCell ref="I34:I36"/>
    <mergeCell ref="L34:L36"/>
    <mergeCell ref="M34:M36"/>
    <mergeCell ref="G31:G33"/>
    <mergeCell ref="H31:H33"/>
    <mergeCell ref="I31:I33"/>
    <mergeCell ref="L31:L33"/>
    <mergeCell ref="M31:M33"/>
    <mergeCell ref="F31:F33"/>
    <mergeCell ref="A34:A36"/>
    <mergeCell ref="B34:B36"/>
    <mergeCell ref="C34:C36"/>
    <mergeCell ref="D34:D36"/>
    <mergeCell ref="E34:E36"/>
    <mergeCell ref="A31:A33"/>
    <mergeCell ref="B31:B33"/>
    <mergeCell ref="C31:C33"/>
    <mergeCell ref="D31:D33"/>
    <mergeCell ref="E31:E33"/>
    <mergeCell ref="F28:F30"/>
    <mergeCell ref="G28:G30"/>
    <mergeCell ref="H28:H30"/>
    <mergeCell ref="I28:I30"/>
    <mergeCell ref="L28:L30"/>
    <mergeCell ref="M28:M30"/>
    <mergeCell ref="G24:G27"/>
    <mergeCell ref="H24:H27"/>
    <mergeCell ref="I24:I27"/>
    <mergeCell ref="L24:L27"/>
    <mergeCell ref="M24:M27"/>
    <mergeCell ref="F24:F27"/>
    <mergeCell ref="A28:A30"/>
    <mergeCell ref="B28:B30"/>
    <mergeCell ref="C28:C30"/>
    <mergeCell ref="D28:D30"/>
    <mergeCell ref="E28:E30"/>
    <mergeCell ref="A24:A27"/>
    <mergeCell ref="B24:B27"/>
    <mergeCell ref="C24:C27"/>
    <mergeCell ref="D24:D27"/>
    <mergeCell ref="E24:E27"/>
    <mergeCell ref="F21:F23"/>
    <mergeCell ref="G21:G23"/>
    <mergeCell ref="H21:H23"/>
    <mergeCell ref="I21:I23"/>
    <mergeCell ref="L21:L23"/>
    <mergeCell ref="M21:M23"/>
    <mergeCell ref="G18:G20"/>
    <mergeCell ref="H18:H20"/>
    <mergeCell ref="I18:I20"/>
    <mergeCell ref="L18:L20"/>
    <mergeCell ref="M18:M20"/>
    <mergeCell ref="F18:F20"/>
    <mergeCell ref="A21:A23"/>
    <mergeCell ref="B21:B23"/>
    <mergeCell ref="C21:C23"/>
    <mergeCell ref="D21:D23"/>
    <mergeCell ref="E21:E23"/>
    <mergeCell ref="A18:A20"/>
    <mergeCell ref="B18:B20"/>
    <mergeCell ref="C18:C20"/>
    <mergeCell ref="D18:D20"/>
    <mergeCell ref="E18:E20"/>
    <mergeCell ref="H15:H17"/>
    <mergeCell ref="I15:I17"/>
    <mergeCell ref="L15:L17"/>
    <mergeCell ref="M15:M17"/>
    <mergeCell ref="G12:G14"/>
    <mergeCell ref="H12:H14"/>
    <mergeCell ref="I12:I14"/>
    <mergeCell ref="L12:L14"/>
    <mergeCell ref="M12:M14"/>
    <mergeCell ref="A15:A17"/>
    <mergeCell ref="B15:B17"/>
    <mergeCell ref="C15:C17"/>
    <mergeCell ref="D15:D17"/>
    <mergeCell ref="E15:E17"/>
    <mergeCell ref="E2:G4"/>
    <mergeCell ref="A10:A11"/>
    <mergeCell ref="B10:C10"/>
    <mergeCell ref="D10:F10"/>
    <mergeCell ref="A12:A14"/>
    <mergeCell ref="B12:B14"/>
    <mergeCell ref="C12:C14"/>
    <mergeCell ref="D12:D14"/>
    <mergeCell ref="E12:E14"/>
    <mergeCell ref="F12:F14"/>
    <mergeCell ref="F15:F17"/>
    <mergeCell ref="G15:G17"/>
    <mergeCell ref="D8:F9"/>
  </mergeCells>
  <phoneticPr fontId="34" type="noConversion"/>
  <dataValidations count="18">
    <dataValidation type="list" allowBlank="1" showInputMessage="1" showErrorMessage="1" sqref="D12:D14" xr:uid="{8319404A-5AF9-492C-A50D-BEFA0BE58500}">
      <formula1>$J$12:$J$14</formula1>
    </dataValidation>
    <dataValidation type="list" allowBlank="1" showInputMessage="1" showErrorMessage="1" sqref="D15:D17" xr:uid="{85E9781F-6841-411D-B784-4824FE0914A4}">
      <formula1>$J$15:$J$17</formula1>
    </dataValidation>
    <dataValidation type="list" allowBlank="1" showInputMessage="1" showErrorMessage="1" sqref="D18:D20" xr:uid="{8DACD264-9AB3-4963-B0DC-92BFC62E97B7}">
      <formula1>$J$18:$J$20</formula1>
    </dataValidation>
    <dataValidation type="list" allowBlank="1" showInputMessage="1" showErrorMessage="1" sqref="D21:D23" xr:uid="{A6F07498-F044-4C1B-9AC7-5CC7DEFD5778}">
      <formula1>$J$21:$J$23</formula1>
    </dataValidation>
    <dataValidation type="list" allowBlank="1" showInputMessage="1" showErrorMessage="1" sqref="D24:D27" xr:uid="{08B58BB9-2974-4143-8F67-7A0CF6FCFD14}">
      <formula1>$J$24:$J$27</formula1>
    </dataValidation>
    <dataValidation type="list" allowBlank="1" showInputMessage="1" showErrorMessage="1" sqref="D28:D30" xr:uid="{3ABC3794-661F-4D4D-90AE-B072B9EF3CD6}">
      <formula1>$J$28:$J$30</formula1>
    </dataValidation>
    <dataValidation type="list" allowBlank="1" showInputMessage="1" showErrorMessage="1" sqref="D31:D33" xr:uid="{F087B33F-C8B4-4924-ACD3-9883E9641461}">
      <formula1>$J$31:$J$33</formula1>
    </dataValidation>
    <dataValidation type="list" allowBlank="1" showInputMessage="1" showErrorMessage="1" sqref="D34:D36" xr:uid="{EEB4B7BE-5E39-4CA0-800D-0328A6C31549}">
      <formula1>$J$34:$J$36</formula1>
    </dataValidation>
    <dataValidation type="list" allowBlank="1" showInputMessage="1" showErrorMessage="1" sqref="D37:D39" xr:uid="{C6DC1638-AF5C-4488-AAAE-1B35ED5515CA}">
      <formula1>$J$37:$J$39</formula1>
    </dataValidation>
    <dataValidation type="list" allowBlank="1" showInputMessage="1" showErrorMessage="1" sqref="L12:L14" xr:uid="{C782B825-9BF7-437C-B92E-AB908E3EC76D}">
      <formula1>$K$12:$K$14</formula1>
    </dataValidation>
    <dataValidation type="list" allowBlank="1" showInputMessage="1" showErrorMessage="1" sqref="L15:L17" xr:uid="{58BDD37E-10EF-44D9-88E7-46DA0E13B9E9}">
      <formula1>$K$15:$K$17</formula1>
    </dataValidation>
    <dataValidation type="list" allowBlank="1" showInputMessage="1" showErrorMessage="1" sqref="L18:L20" xr:uid="{1ED2B364-1DFA-49F7-A4A3-81F94E739028}">
      <formula1>$K$18:$K$20</formula1>
    </dataValidation>
    <dataValidation type="list" allowBlank="1" showInputMessage="1" showErrorMessage="1" sqref="L21:L23" xr:uid="{E7B18418-5A15-43DD-A497-5724590930C1}">
      <formula1>$K$21:$K$23</formula1>
    </dataValidation>
    <dataValidation type="list" allowBlank="1" showInputMessage="1" showErrorMessage="1" sqref="L24:L27" xr:uid="{B7D58F50-94B2-446D-94A1-BF342E9C1C9F}">
      <formula1>$K$24:$K$27</formula1>
    </dataValidation>
    <dataValidation type="list" allowBlank="1" showInputMessage="1" showErrorMessage="1" sqref="L28:L30" xr:uid="{7145E0A0-0E35-4E7B-AB29-6C08B2A144AE}">
      <formula1>$K$28:$K$30</formula1>
    </dataValidation>
    <dataValidation type="list" allowBlank="1" showInputMessage="1" showErrorMessage="1" sqref="L31:L33" xr:uid="{C1A7A62C-1382-4D08-A1F7-536EB21A9072}">
      <formula1>$K$31:$K$33</formula1>
    </dataValidation>
    <dataValidation type="list" allowBlank="1" showInputMessage="1" showErrorMessage="1" sqref="L34:L36" xr:uid="{74167CD7-0DE3-4C44-95C0-D97F38AC8D5A}">
      <formula1>$K$34:$K$36</formula1>
    </dataValidation>
    <dataValidation type="list" allowBlank="1" showInputMessage="1" showErrorMessage="1" sqref="L37:L39" xr:uid="{BC374C57-C632-46FC-B14D-DE6DF42FE3E0}">
      <formula1>$K$37:$K$39</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1D64089-A614-46DE-8BDA-6D3040CB0C7E}">
          <x14:formula1>
            <xm:f>'Response Guidlines'!$D$81:$D$87</xm:f>
          </x14:formula1>
          <xm:sqref>G12:G39</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9E086-5838-426F-8868-E009B620200F}">
  <sheetPr>
    <tabColor rgb="FF22A2A8"/>
    <pageSetUpPr fitToPage="1"/>
  </sheetPr>
  <dimension ref="A1:M54"/>
  <sheetViews>
    <sheetView zoomScaleNormal="100" workbookViewId="0">
      <selection activeCell="F14" sqref="F14:F15"/>
    </sheetView>
  </sheetViews>
  <sheetFormatPr defaultColWidth="9.26953125" defaultRowHeight="10.5" x14ac:dyDescent="0.25"/>
  <cols>
    <col min="1" max="1" width="4.7265625" style="19" customWidth="1"/>
    <col min="2" max="2" width="37.26953125" style="18" customWidth="1"/>
    <col min="3" max="3" width="42.26953125" style="18" customWidth="1"/>
    <col min="4" max="4" width="12" style="18" customWidth="1"/>
    <col min="5" max="5" width="20.54296875" style="18" customWidth="1"/>
    <col min="6" max="6" width="22.54296875" style="18" customWidth="1"/>
    <col min="7" max="7" width="12.54296875" style="368" customWidth="1"/>
    <col min="8" max="8" width="6.7265625" style="18" bestFit="1" customWidth="1"/>
    <col min="9" max="9" width="7.26953125" style="17" customWidth="1"/>
    <col min="10" max="10" width="30.7265625" style="16" customWidth="1"/>
    <col min="11" max="11" width="5.26953125" style="15" customWidth="1"/>
    <col min="12" max="12" width="5.453125" style="13" customWidth="1"/>
    <col min="13" max="13" width="40.453125" style="14" customWidth="1"/>
    <col min="14" max="14" width="8.54296875" style="13" customWidth="1"/>
    <col min="15" max="16384" width="9.26953125" style="13"/>
  </cols>
  <sheetData>
    <row r="1" spans="1:13" x14ac:dyDescent="0.25">
      <c r="B1" s="76"/>
      <c r="C1" s="76"/>
      <c r="D1" s="76"/>
      <c r="E1" s="76"/>
      <c r="F1" s="76"/>
      <c r="G1" s="365"/>
      <c r="H1" s="76"/>
    </row>
    <row r="2" spans="1:13" ht="15.5" x14ac:dyDescent="0.35">
      <c r="B2" s="11" t="s">
        <v>51</v>
      </c>
      <c r="C2" s="12" t="str">
        <f>'Scoring Summary'!C2</f>
        <v>&lt;insert before tender publication&gt;</v>
      </c>
      <c r="D2" s="46"/>
      <c r="E2" s="390" t="s">
        <v>608</v>
      </c>
      <c r="F2" s="390"/>
      <c r="G2" s="390"/>
      <c r="H2" s="46"/>
      <c r="I2" s="46"/>
      <c r="J2" s="46"/>
      <c r="K2" s="46"/>
      <c r="L2" s="46"/>
      <c r="M2" s="46"/>
    </row>
    <row r="3" spans="1:13" ht="28" x14ac:dyDescent="0.35">
      <c r="B3" s="11" t="s">
        <v>54</v>
      </c>
      <c r="C3" s="116" t="str">
        <f>'Scoring Summary'!C3</f>
        <v>IT00641 Dx Commercial Energy Trader (Dx CET)</v>
      </c>
      <c r="D3" s="46"/>
      <c r="E3" s="390"/>
      <c r="F3" s="390"/>
      <c r="G3" s="390"/>
      <c r="H3" s="46"/>
      <c r="I3" s="46"/>
      <c r="J3" s="46"/>
      <c r="K3" s="46"/>
      <c r="L3" s="46"/>
      <c r="M3" s="46"/>
    </row>
    <row r="4" spans="1:13" ht="15.5" x14ac:dyDescent="0.35">
      <c r="B4" s="11" t="s">
        <v>55</v>
      </c>
      <c r="C4" s="346">
        <f>'Scoring Summary'!C4</f>
        <v>0.7</v>
      </c>
      <c r="D4" s="46"/>
      <c r="E4" s="390"/>
      <c r="F4" s="390"/>
      <c r="G4" s="390"/>
      <c r="H4" s="46"/>
      <c r="I4" s="46"/>
      <c r="J4" s="46"/>
      <c r="K4" s="46"/>
      <c r="L4" s="46"/>
      <c r="M4" s="46"/>
    </row>
    <row r="5" spans="1:13" ht="15.5" x14ac:dyDescent="0.35">
      <c r="B5" s="11" t="s">
        <v>84</v>
      </c>
      <c r="C5" s="10" t="str">
        <f>'Scoring Summary'!C5</f>
        <v>&lt;Evaluator to complete&gt;</v>
      </c>
      <c r="D5" s="46"/>
      <c r="E5" s="75"/>
      <c r="F5" s="75"/>
      <c r="G5" s="100"/>
      <c r="H5" s="46"/>
      <c r="I5" s="46"/>
      <c r="J5" s="46"/>
      <c r="K5" s="46"/>
      <c r="L5" s="46"/>
      <c r="M5" s="46"/>
    </row>
    <row r="6" spans="1:13" ht="15.5" x14ac:dyDescent="0.35">
      <c r="B6" s="11" t="s">
        <v>58</v>
      </c>
      <c r="C6" s="10" t="str">
        <f>'Scoring Summary'!C6</f>
        <v>&lt;Evaluator to complete&gt;</v>
      </c>
      <c r="D6" s="46"/>
      <c r="E6" s="46"/>
      <c r="F6" s="46"/>
      <c r="G6" s="46"/>
      <c r="H6" s="46"/>
      <c r="I6" s="46"/>
      <c r="J6" s="46"/>
      <c r="K6" s="46"/>
      <c r="L6" s="46"/>
      <c r="M6" s="46"/>
    </row>
    <row r="7" spans="1:13" ht="15.5" x14ac:dyDescent="0.35">
      <c r="B7" s="11" t="s">
        <v>59</v>
      </c>
      <c r="C7" s="10" t="str">
        <f>'Scoring Summary'!C7</f>
        <v>&lt;Evaluator to complete&gt;</v>
      </c>
      <c r="D7" s="46"/>
      <c r="E7" s="46"/>
      <c r="F7" s="46"/>
      <c r="G7" s="46"/>
      <c r="H7" s="46"/>
      <c r="I7" s="46"/>
      <c r="J7" s="46"/>
      <c r="K7" s="46"/>
      <c r="L7" s="46"/>
      <c r="M7" s="46"/>
    </row>
    <row r="8" spans="1:13" ht="14" x14ac:dyDescent="0.3">
      <c r="B8" s="11" t="s">
        <v>60</v>
      </c>
      <c r="C8" s="10"/>
      <c r="D8" s="466" t="s">
        <v>1278</v>
      </c>
      <c r="E8" s="467"/>
      <c r="F8" s="468"/>
      <c r="G8" s="318"/>
      <c r="H8" s="318"/>
      <c r="I8" s="318"/>
      <c r="J8" s="318"/>
      <c r="K8" s="318"/>
      <c r="L8" s="318"/>
      <c r="M8" s="318"/>
    </row>
    <row r="9" spans="1:13" ht="13.5" thickBot="1" x14ac:dyDescent="0.35">
      <c r="B9" s="30"/>
      <c r="C9" s="30"/>
      <c r="D9" s="469"/>
      <c r="E9" s="470"/>
      <c r="F9" s="471"/>
      <c r="G9" s="366"/>
      <c r="H9" s="319"/>
      <c r="I9" s="320"/>
      <c r="J9" s="472" t="s">
        <v>1279</v>
      </c>
      <c r="K9" s="472"/>
      <c r="L9" s="472"/>
      <c r="M9" s="472"/>
    </row>
    <row r="10" spans="1:13" x14ac:dyDescent="0.2">
      <c r="A10" s="500" t="s">
        <v>85</v>
      </c>
      <c r="B10" s="502" t="s">
        <v>86</v>
      </c>
      <c r="C10" s="503"/>
      <c r="D10" s="504" t="s">
        <v>87</v>
      </c>
      <c r="E10" s="505"/>
      <c r="F10" s="506"/>
      <c r="G10" s="74"/>
      <c r="H10" s="74"/>
      <c r="I10" s="73" t="s">
        <v>88</v>
      </c>
      <c r="J10" s="72"/>
      <c r="K10" s="72"/>
      <c r="L10" s="72"/>
      <c r="M10" s="71"/>
    </row>
    <row r="11" spans="1:13" s="49" customFormat="1" ht="58.15" customHeight="1" x14ac:dyDescent="0.35">
      <c r="A11" s="675"/>
      <c r="B11" s="103" t="s">
        <v>89</v>
      </c>
      <c r="C11" s="69" t="s">
        <v>62</v>
      </c>
      <c r="D11" s="104" t="s">
        <v>90</v>
      </c>
      <c r="E11" s="105" t="s">
        <v>64</v>
      </c>
      <c r="F11" s="106" t="s">
        <v>91</v>
      </c>
      <c r="G11" s="367" t="s">
        <v>92</v>
      </c>
      <c r="H11" s="107" t="s">
        <v>93</v>
      </c>
      <c r="I11" s="369" t="s">
        <v>94</v>
      </c>
      <c r="J11" s="140" t="s">
        <v>95</v>
      </c>
      <c r="K11" s="370" t="s">
        <v>96</v>
      </c>
      <c r="L11" s="371" t="s">
        <v>67</v>
      </c>
      <c r="M11" s="143" t="s">
        <v>68</v>
      </c>
    </row>
    <row r="12" spans="1:13" s="137" customFormat="1" ht="30" x14ac:dyDescent="0.35">
      <c r="A12" s="669" t="s">
        <v>609</v>
      </c>
      <c r="B12" s="446" t="s">
        <v>1316</v>
      </c>
      <c r="C12" s="426" t="s">
        <v>1409</v>
      </c>
      <c r="D12" s="657"/>
      <c r="E12" s="652" t="s">
        <v>99</v>
      </c>
      <c r="F12" s="599"/>
      <c r="G12" s="521" t="s">
        <v>29</v>
      </c>
      <c r="H12" s="418">
        <f>IF(G12='Response Guidlines'!$D$81,'Response Guidlines'!$C$81, IF(G12='Response Guidlines'!$D$82,'Response Guidlines'!$C$82,IF(G12='Response Guidlines'!$D$83,'Response Guidlines'!$C$83,IF(G12='Response Guidlines'!$D$84,'Response Guidlines'!$C$84,IF(G12='Response Guidlines'!$D$85,'Response Guidlines'!$C$85,IF(G12='Response Guidlines'!$D$86,'Response Guidlines'!$C$86,IF(G12='Response Guidlines'!$D$87,'Response Guidlines'!$C$87,"No Rating")))))))</f>
        <v>6</v>
      </c>
      <c r="I12" s="401">
        <f>(H12/$H$54)/_xlfn.XLOOKUP('Scoring Summary'!$D$21,'Response Guidlines'!$D$92:$D$191,'Response Guidlines'!$C$92:$C$191,"",0,1)</f>
        <v>5.6074766355139628E-3</v>
      </c>
      <c r="J12" s="52" t="s">
        <v>1317</v>
      </c>
      <c r="K12" s="138">
        <f>I12</f>
        <v>5.6074766355139628E-3</v>
      </c>
      <c r="L12" s="436">
        <v>0</v>
      </c>
      <c r="M12" s="352"/>
    </row>
    <row r="13" spans="1:13" s="137" customFormat="1" ht="20" x14ac:dyDescent="0.35">
      <c r="A13" s="669"/>
      <c r="B13" s="445"/>
      <c r="C13" s="428"/>
      <c r="D13" s="657"/>
      <c r="E13" s="652"/>
      <c r="F13" s="599"/>
      <c r="G13" s="521"/>
      <c r="H13" s="418"/>
      <c r="I13" s="401"/>
      <c r="J13" s="52" t="s">
        <v>1318</v>
      </c>
      <c r="K13" s="138">
        <v>0</v>
      </c>
      <c r="L13" s="523"/>
      <c r="M13" s="352"/>
    </row>
    <row r="14" spans="1:13" s="135" customFormat="1" ht="20" x14ac:dyDescent="0.35">
      <c r="A14" s="669" t="s">
        <v>610</v>
      </c>
      <c r="B14" s="412" t="s">
        <v>1347</v>
      </c>
      <c r="C14" s="426" t="s">
        <v>1370</v>
      </c>
      <c r="D14" s="657"/>
      <c r="E14" s="613"/>
      <c r="F14" s="599"/>
      <c r="G14" s="521" t="s">
        <v>28</v>
      </c>
      <c r="H14" s="418">
        <f>IF(G14='Response Guidlines'!$D$81,'Response Guidlines'!$C$81, IF(G14='Response Guidlines'!$D$82,'Response Guidlines'!$C$82,IF(G14='Response Guidlines'!$D$83,'Response Guidlines'!$C$83,IF(G14='Response Guidlines'!$D$84,'Response Guidlines'!$C$84,IF(G14='Response Guidlines'!$D$85,'Response Guidlines'!$C$85,IF(G14='Response Guidlines'!$D$86,'Response Guidlines'!$C$86,IF(G14='Response Guidlines'!$D$87,'Response Guidlines'!$C$87,"No Rating")))))))</f>
        <v>5</v>
      </c>
      <c r="I14" s="401">
        <f>(H14/$H$54)/_xlfn.XLOOKUP('Scoring Summary'!$D$21,'Response Guidlines'!$D$92:$D$191,'Response Guidlines'!$C$92:$C$191,"",0,1)</f>
        <v>4.6728971962616359E-3</v>
      </c>
      <c r="J14" s="52" t="s">
        <v>1371</v>
      </c>
      <c r="K14" s="138">
        <f t="shared" ref="K14" si="0">I14</f>
        <v>4.6728971962616359E-3</v>
      </c>
      <c r="L14" s="436">
        <v>0</v>
      </c>
      <c r="M14" s="676"/>
    </row>
    <row r="15" spans="1:13" s="135" customFormat="1" ht="20" x14ac:dyDescent="0.35">
      <c r="A15" s="669"/>
      <c r="B15" s="412"/>
      <c r="C15" s="428"/>
      <c r="D15" s="657"/>
      <c r="E15" s="613"/>
      <c r="F15" s="599"/>
      <c r="G15" s="521"/>
      <c r="H15" s="418"/>
      <c r="I15" s="401"/>
      <c r="J15" s="52" t="s">
        <v>1372</v>
      </c>
      <c r="K15" s="138">
        <v>0</v>
      </c>
      <c r="L15" s="523"/>
      <c r="M15" s="676"/>
    </row>
    <row r="16" spans="1:13" s="135" customFormat="1" ht="20" x14ac:dyDescent="0.35">
      <c r="A16" s="669" t="s">
        <v>611</v>
      </c>
      <c r="B16" s="412" t="s">
        <v>1348</v>
      </c>
      <c r="C16" s="426" t="s">
        <v>1402</v>
      </c>
      <c r="D16" s="657"/>
      <c r="E16" s="412"/>
      <c r="F16" s="409"/>
      <c r="G16" s="521" t="s">
        <v>29</v>
      </c>
      <c r="H16" s="418">
        <f>IF(G16='Response Guidlines'!$D$81,'Response Guidlines'!$C$81, IF(G16='Response Guidlines'!$D$82,'Response Guidlines'!$C$82,IF(G16='Response Guidlines'!$D$83,'Response Guidlines'!$C$83,IF(G16='Response Guidlines'!$D$84,'Response Guidlines'!$C$84,IF(G16='Response Guidlines'!$D$85,'Response Guidlines'!$C$85,IF(G16='Response Guidlines'!$D$86,'Response Guidlines'!$C$86,IF(G16='Response Guidlines'!$D$87,'Response Guidlines'!$C$87,"No Rating")))))))</f>
        <v>6</v>
      </c>
      <c r="I16" s="401">
        <f>(H16/$H$54)/_xlfn.XLOOKUP('Scoring Summary'!$D$21,'Response Guidlines'!$D$92:$D$191,'Response Guidlines'!$C$92:$C$191,"",0,1)</f>
        <v>5.6074766355139628E-3</v>
      </c>
      <c r="J16" s="52" t="s">
        <v>1373</v>
      </c>
      <c r="K16" s="138">
        <f t="shared" ref="K16" si="1">I16</f>
        <v>5.6074766355139628E-3</v>
      </c>
      <c r="L16" s="436">
        <v>0</v>
      </c>
      <c r="M16" s="668"/>
    </row>
    <row r="17" spans="1:13" s="135" customFormat="1" ht="20" x14ac:dyDescent="0.35">
      <c r="A17" s="669"/>
      <c r="B17" s="412"/>
      <c r="C17" s="428"/>
      <c r="D17" s="657"/>
      <c r="E17" s="412"/>
      <c r="F17" s="409"/>
      <c r="G17" s="521"/>
      <c r="H17" s="418"/>
      <c r="I17" s="401"/>
      <c r="J17" s="52" t="s">
        <v>1374</v>
      </c>
      <c r="K17" s="138">
        <v>0</v>
      </c>
      <c r="L17" s="523"/>
      <c r="M17" s="668"/>
    </row>
    <row r="18" spans="1:13" s="353" customFormat="1" ht="30" x14ac:dyDescent="0.35">
      <c r="A18" s="669" t="s">
        <v>612</v>
      </c>
      <c r="B18" s="412" t="s">
        <v>1410</v>
      </c>
      <c r="C18" s="426" t="s">
        <v>1403</v>
      </c>
      <c r="D18" s="657"/>
      <c r="E18" s="412"/>
      <c r="F18" s="409"/>
      <c r="G18" s="677" t="s">
        <v>28</v>
      </c>
      <c r="H18" s="678">
        <f>IF(G18='Response Guidlines'!$D$81,'Response Guidlines'!$C$81, IF(G18='Response Guidlines'!$D$82,'Response Guidlines'!$C$82,IF(G18='Response Guidlines'!$D$83,'Response Guidlines'!$C$83,IF(G18='Response Guidlines'!$D$84,'Response Guidlines'!$C$84,IF(G18='Response Guidlines'!$D$85,'Response Guidlines'!$C$85,IF(G18='Response Guidlines'!$D$86,'Response Guidlines'!$C$86,IF(G18='Response Guidlines'!$D$87,'Response Guidlines'!$C$87,"No Rating")))))))</f>
        <v>5</v>
      </c>
      <c r="I18" s="401">
        <f>(H18/$H$54)/_xlfn.XLOOKUP('Scoring Summary'!$D$21,'Response Guidlines'!$D$92:$D$191,'Response Guidlines'!$C$92:$C$191,"",0,1)</f>
        <v>4.6728971962616359E-3</v>
      </c>
      <c r="J18" s="52" t="s">
        <v>1375</v>
      </c>
      <c r="K18" s="138">
        <f t="shared" ref="K18" si="2">I18</f>
        <v>4.6728971962616359E-3</v>
      </c>
      <c r="L18" s="436">
        <v>0</v>
      </c>
      <c r="M18" s="668"/>
    </row>
    <row r="19" spans="1:13" s="353" customFormat="1" ht="20" x14ac:dyDescent="0.35">
      <c r="A19" s="669"/>
      <c r="B19" s="412"/>
      <c r="C19" s="428"/>
      <c r="D19" s="657"/>
      <c r="E19" s="412"/>
      <c r="F19" s="409"/>
      <c r="G19" s="677"/>
      <c r="H19" s="678"/>
      <c r="I19" s="401"/>
      <c r="J19" s="52" t="s">
        <v>1376</v>
      </c>
      <c r="K19" s="138">
        <v>0</v>
      </c>
      <c r="L19" s="523"/>
      <c r="M19" s="668"/>
    </row>
    <row r="20" spans="1:13" s="135" customFormat="1" ht="40" x14ac:dyDescent="0.35">
      <c r="A20" s="669" t="s">
        <v>613</v>
      </c>
      <c r="B20" s="412" t="s">
        <v>1349</v>
      </c>
      <c r="C20" s="424" t="s">
        <v>1404</v>
      </c>
      <c r="D20" s="657"/>
      <c r="E20" s="412"/>
      <c r="F20" s="409"/>
      <c r="G20" s="521" t="s">
        <v>29</v>
      </c>
      <c r="H20" s="418">
        <f>IF(G20='Response Guidlines'!$D$81,'Response Guidlines'!$C$81, IF(G20='Response Guidlines'!$D$82,'Response Guidlines'!$C$82,IF(G20='Response Guidlines'!$D$83,'Response Guidlines'!$C$83,IF(G20='Response Guidlines'!$D$84,'Response Guidlines'!$C$84,IF(G20='Response Guidlines'!$D$85,'Response Guidlines'!$C$85,IF(G20='Response Guidlines'!$D$86,'Response Guidlines'!$C$86,IF(G20='Response Guidlines'!$D$87,'Response Guidlines'!$C$87,"No Rating")))))))</f>
        <v>6</v>
      </c>
      <c r="I20" s="401">
        <f>(H20/$H$54)/_xlfn.XLOOKUP('Scoring Summary'!$D$21,'Response Guidlines'!$D$92:$D$191,'Response Guidlines'!$C$92:$C$191,"",0,1)</f>
        <v>5.6074766355139628E-3</v>
      </c>
      <c r="J20" s="52" t="s">
        <v>1339</v>
      </c>
      <c r="K20" s="138">
        <f t="shared" ref="K20" si="3">I20</f>
        <v>5.6074766355139628E-3</v>
      </c>
      <c r="L20" s="436">
        <v>0</v>
      </c>
      <c r="M20" s="668"/>
    </row>
    <row r="21" spans="1:13" s="135" customFormat="1" ht="30" x14ac:dyDescent="0.35">
      <c r="A21" s="669"/>
      <c r="B21" s="412" t="s">
        <v>1345</v>
      </c>
      <c r="C21" s="438"/>
      <c r="D21" s="657"/>
      <c r="E21" s="412"/>
      <c r="F21" s="409"/>
      <c r="G21" s="521"/>
      <c r="H21" s="418"/>
      <c r="I21" s="401"/>
      <c r="J21" s="52" t="s">
        <v>1342</v>
      </c>
      <c r="K21" s="138">
        <v>0</v>
      </c>
      <c r="L21" s="523"/>
      <c r="M21" s="668"/>
    </row>
    <row r="22" spans="1:13" s="135" customFormat="1" ht="50" x14ac:dyDescent="0.35">
      <c r="A22" s="669" t="s">
        <v>614</v>
      </c>
      <c r="B22" s="412" t="s">
        <v>1350</v>
      </c>
      <c r="C22" s="424" t="s">
        <v>1405</v>
      </c>
      <c r="D22" s="657"/>
      <c r="E22" s="412"/>
      <c r="F22" s="409"/>
      <c r="G22" s="521" t="s">
        <v>29</v>
      </c>
      <c r="H22" s="418">
        <f>IF(G22='Response Guidlines'!$D$81,'Response Guidlines'!$C$81, IF(G22='Response Guidlines'!$D$82,'Response Guidlines'!$C$82,IF(G22='Response Guidlines'!$D$83,'Response Guidlines'!$C$83,IF(G22='Response Guidlines'!$D$84,'Response Guidlines'!$C$84,IF(G22='Response Guidlines'!$D$85,'Response Guidlines'!$C$85,IF(G22='Response Guidlines'!$D$86,'Response Guidlines'!$C$86,IF(G22='Response Guidlines'!$D$87,'Response Guidlines'!$C$87,"No Rating")))))))</f>
        <v>6</v>
      </c>
      <c r="I22" s="401">
        <f>(H22/$H$54)/_xlfn.XLOOKUP('Scoring Summary'!$D$21,'Response Guidlines'!$D$92:$D$191,'Response Guidlines'!$C$92:$C$191,"",0,1)</f>
        <v>5.6074766355139628E-3</v>
      </c>
      <c r="J22" s="52" t="s">
        <v>1340</v>
      </c>
      <c r="K22" s="138">
        <f t="shared" ref="K22" si="4">I22</f>
        <v>5.6074766355139628E-3</v>
      </c>
      <c r="L22" s="436">
        <v>0</v>
      </c>
      <c r="M22" s="668"/>
    </row>
    <row r="23" spans="1:13" s="135" customFormat="1" ht="50" x14ac:dyDescent="0.35">
      <c r="A23" s="669"/>
      <c r="B23" s="412"/>
      <c r="C23" s="438"/>
      <c r="D23" s="657"/>
      <c r="E23" s="412"/>
      <c r="F23" s="409"/>
      <c r="G23" s="521"/>
      <c r="H23" s="418"/>
      <c r="I23" s="401"/>
      <c r="J23" s="52" t="s">
        <v>1386</v>
      </c>
      <c r="K23" s="138">
        <v>0</v>
      </c>
      <c r="L23" s="523"/>
      <c r="M23" s="668"/>
    </row>
    <row r="24" spans="1:13" s="135" customFormat="1" ht="20" x14ac:dyDescent="0.35">
      <c r="A24" s="666" t="s">
        <v>1408</v>
      </c>
      <c r="B24" s="412" t="s">
        <v>1351</v>
      </c>
      <c r="C24" s="424" t="s">
        <v>1401</v>
      </c>
      <c r="D24" s="657"/>
      <c r="E24" s="412"/>
      <c r="F24" s="409"/>
      <c r="G24" s="521" t="s">
        <v>29</v>
      </c>
      <c r="H24" s="418">
        <f>IF(G24='Response Guidlines'!$D$81,'Response Guidlines'!$C$81, IF(G24='Response Guidlines'!$D$82,'Response Guidlines'!$C$82,IF(G24='Response Guidlines'!$D$83,'Response Guidlines'!$C$83,IF(G24='Response Guidlines'!$D$84,'Response Guidlines'!$C$84,IF(G24='Response Guidlines'!$D$85,'Response Guidlines'!$C$85,IF(G24='Response Guidlines'!$D$86,'Response Guidlines'!$C$86,IF(G24='Response Guidlines'!$D$87,'Response Guidlines'!$C$87,"No Rating")))))))</f>
        <v>6</v>
      </c>
      <c r="I24" s="401">
        <f>(H24/$H$54)/_xlfn.XLOOKUP('Scoring Summary'!$D$21,'Response Guidlines'!$D$92:$D$191,'Response Guidlines'!$C$92:$C$191,"",0,1)</f>
        <v>5.6074766355139628E-3</v>
      </c>
      <c r="J24" s="52" t="s">
        <v>1387</v>
      </c>
      <c r="K24" s="138">
        <f t="shared" ref="K24" si="5">I24</f>
        <v>5.6074766355139628E-3</v>
      </c>
      <c r="L24" s="436">
        <v>0</v>
      </c>
      <c r="M24" s="283"/>
    </row>
    <row r="25" spans="1:13" s="135" customFormat="1" ht="20" x14ac:dyDescent="0.35">
      <c r="A25" s="667"/>
      <c r="B25" s="412"/>
      <c r="C25" s="438"/>
      <c r="D25" s="657"/>
      <c r="E25" s="412"/>
      <c r="F25" s="409"/>
      <c r="G25" s="521"/>
      <c r="H25" s="418"/>
      <c r="I25" s="401"/>
      <c r="J25" s="52" t="s">
        <v>1417</v>
      </c>
      <c r="K25" s="138">
        <v>0</v>
      </c>
      <c r="L25" s="523"/>
      <c r="M25" s="283"/>
    </row>
    <row r="26" spans="1:13" s="135" customFormat="1" ht="30" x14ac:dyDescent="0.35">
      <c r="A26" s="669" t="s">
        <v>615</v>
      </c>
      <c r="B26" s="412" t="s">
        <v>1323</v>
      </c>
      <c r="C26" s="673" t="s">
        <v>1362</v>
      </c>
      <c r="D26" s="657"/>
      <c r="E26" s="412"/>
      <c r="F26" s="409"/>
      <c r="G26" s="521" t="s">
        <v>29</v>
      </c>
      <c r="H26" s="418">
        <f>IF(G26='Response Guidlines'!$D$81,'Response Guidlines'!$C$81, IF(G26='Response Guidlines'!$D$82,'Response Guidlines'!$C$82,IF(G26='Response Guidlines'!$D$83,'Response Guidlines'!$C$83,IF(G26='Response Guidlines'!$D$84,'Response Guidlines'!$C$84,IF(G26='Response Guidlines'!$D$85,'Response Guidlines'!$C$85,IF(G26='Response Guidlines'!$D$86,'Response Guidlines'!$C$86,IF(G26='Response Guidlines'!$D$87,'Response Guidlines'!$C$87,"No Rating")))))))</f>
        <v>6</v>
      </c>
      <c r="I26" s="401">
        <f>(H26/$H$54)/_xlfn.XLOOKUP('Scoring Summary'!$D$21,'Response Guidlines'!$D$92:$D$191,'Response Guidlines'!$C$92:$C$191,"",0,1)</f>
        <v>5.6074766355139628E-3</v>
      </c>
      <c r="J26" s="52" t="s">
        <v>1411</v>
      </c>
      <c r="K26" s="138">
        <f t="shared" ref="K26" si="6">I26</f>
        <v>5.6074766355139628E-3</v>
      </c>
      <c r="L26" s="436">
        <v>0</v>
      </c>
      <c r="M26" s="283"/>
    </row>
    <row r="27" spans="1:13" s="135" customFormat="1" ht="30" x14ac:dyDescent="0.35">
      <c r="A27" s="669"/>
      <c r="B27" s="412"/>
      <c r="C27" s="674"/>
      <c r="D27" s="657"/>
      <c r="E27" s="412"/>
      <c r="F27" s="409"/>
      <c r="G27" s="521"/>
      <c r="H27" s="418"/>
      <c r="I27" s="401"/>
      <c r="J27" s="52" t="s">
        <v>1385</v>
      </c>
      <c r="K27" s="138">
        <v>0</v>
      </c>
      <c r="L27" s="523"/>
      <c r="M27" s="283"/>
    </row>
    <row r="28" spans="1:13" s="135" customFormat="1" ht="30" x14ac:dyDescent="0.35">
      <c r="A28" s="669" t="s">
        <v>616</v>
      </c>
      <c r="B28" s="446" t="s">
        <v>1324</v>
      </c>
      <c r="C28" s="424" t="s">
        <v>1400</v>
      </c>
      <c r="D28" s="657"/>
      <c r="E28" s="412"/>
      <c r="F28" s="409"/>
      <c r="G28" s="521" t="s">
        <v>26</v>
      </c>
      <c r="H28" s="418">
        <f>IF(G28='Response Guidlines'!$D$81,'Response Guidlines'!$C$81, IF(G28='Response Guidlines'!$D$82,'Response Guidlines'!$C$82,IF(G28='Response Guidlines'!$D$83,'Response Guidlines'!$C$83,IF(G28='Response Guidlines'!$D$84,'Response Guidlines'!$C$84,IF(G28='Response Guidlines'!$D$85,'Response Guidlines'!$C$85,IF(G28='Response Guidlines'!$D$86,'Response Guidlines'!$C$86,IF(G28='Response Guidlines'!$D$87,'Response Guidlines'!$C$87,"No Rating")))))))</f>
        <v>3</v>
      </c>
      <c r="I28" s="401">
        <f>(H28/$H$54)/_xlfn.XLOOKUP('Scoring Summary'!$D$21,'Response Guidlines'!$D$92:$D$191,'Response Guidlines'!$C$92:$C$191,"",0,1)</f>
        <v>2.8037383177569814E-3</v>
      </c>
      <c r="J28" s="52" t="s">
        <v>1388</v>
      </c>
      <c r="K28" s="138">
        <f t="shared" ref="K28" si="7">I28</f>
        <v>2.8037383177569814E-3</v>
      </c>
      <c r="L28" s="436">
        <v>0</v>
      </c>
      <c r="M28" s="283"/>
    </row>
    <row r="29" spans="1:13" s="135" customFormat="1" ht="20" x14ac:dyDescent="0.35">
      <c r="A29" s="669"/>
      <c r="B29" s="445"/>
      <c r="C29" s="438"/>
      <c r="D29" s="657"/>
      <c r="E29" s="412"/>
      <c r="F29" s="409"/>
      <c r="G29" s="521"/>
      <c r="H29" s="418"/>
      <c r="I29" s="401"/>
      <c r="J29" s="52" t="s">
        <v>1389</v>
      </c>
      <c r="K29" s="138">
        <v>0</v>
      </c>
      <c r="L29" s="523"/>
      <c r="M29" s="283"/>
    </row>
    <row r="30" spans="1:13" s="135" customFormat="1" ht="30" x14ac:dyDescent="0.35">
      <c r="A30" s="669" t="s">
        <v>1330</v>
      </c>
      <c r="B30" s="412" t="s">
        <v>1325</v>
      </c>
      <c r="C30" s="673" t="s">
        <v>1361</v>
      </c>
      <c r="D30" s="657"/>
      <c r="E30" s="412"/>
      <c r="F30" s="409"/>
      <c r="G30" s="521" t="s">
        <v>29</v>
      </c>
      <c r="H30" s="418">
        <f>IF(G30='Response Guidlines'!$D$81,'Response Guidlines'!$C$81, IF(G30='Response Guidlines'!$D$82,'Response Guidlines'!$C$82,IF(G30='Response Guidlines'!$D$83,'Response Guidlines'!$C$83,IF(G30='Response Guidlines'!$D$84,'Response Guidlines'!$C$84,IF(G30='Response Guidlines'!$D$85,'Response Guidlines'!$C$85,IF(G30='Response Guidlines'!$D$86,'Response Guidlines'!$C$86,IF(G30='Response Guidlines'!$D$87,'Response Guidlines'!$C$87,"No Rating")))))))</f>
        <v>6</v>
      </c>
      <c r="I30" s="401">
        <f>(H30/$H$54)/_xlfn.XLOOKUP('Scoring Summary'!$D$21,'Response Guidlines'!$D$92:$D$191,'Response Guidlines'!$C$92:$C$191,"",0,1)</f>
        <v>5.6074766355139628E-3</v>
      </c>
      <c r="J30" s="52" t="s">
        <v>1377</v>
      </c>
      <c r="K30" s="138">
        <f t="shared" ref="K30" si="8">I30</f>
        <v>5.6074766355139628E-3</v>
      </c>
      <c r="L30" s="436">
        <v>0</v>
      </c>
      <c r="M30" s="668"/>
    </row>
    <row r="31" spans="1:13" s="135" customFormat="1" ht="20" x14ac:dyDescent="0.35">
      <c r="A31" s="669"/>
      <c r="B31" s="412"/>
      <c r="C31" s="674" t="s">
        <v>1346</v>
      </c>
      <c r="D31" s="657"/>
      <c r="E31" s="412"/>
      <c r="F31" s="409"/>
      <c r="G31" s="521"/>
      <c r="H31" s="418"/>
      <c r="I31" s="401"/>
      <c r="J31" s="52" t="s">
        <v>1390</v>
      </c>
      <c r="K31" s="138">
        <v>0</v>
      </c>
      <c r="L31" s="523"/>
      <c r="M31" s="668"/>
    </row>
    <row r="32" spans="1:13" s="135" customFormat="1" ht="20" x14ac:dyDescent="0.35">
      <c r="A32" s="669" t="s">
        <v>1331</v>
      </c>
      <c r="B32" s="412" t="s">
        <v>1328</v>
      </c>
      <c r="C32" s="673" t="s">
        <v>1363</v>
      </c>
      <c r="D32" s="657"/>
      <c r="E32" s="412"/>
      <c r="F32" s="409"/>
      <c r="G32" s="521" t="s">
        <v>28</v>
      </c>
      <c r="H32" s="418">
        <f>IF(G32='Response Guidlines'!$D$81,'Response Guidlines'!$C$81, IF(G32='Response Guidlines'!$D$82,'Response Guidlines'!$C$82,IF(G32='Response Guidlines'!$D$83,'Response Guidlines'!$C$83,IF(G32='Response Guidlines'!$D$84,'Response Guidlines'!$C$84,IF(G32='Response Guidlines'!$D$85,'Response Guidlines'!$C$85,IF(G32='Response Guidlines'!$D$86,'Response Guidlines'!$C$86,IF(G32='Response Guidlines'!$D$87,'Response Guidlines'!$C$87,"No Rating")))))))</f>
        <v>5</v>
      </c>
      <c r="I32" s="401">
        <f>(H32/$H$54)/_xlfn.XLOOKUP('Scoring Summary'!$D$21,'Response Guidlines'!$D$92:$D$191,'Response Guidlines'!$C$92:$C$191,"",0,1)</f>
        <v>4.6728971962616359E-3</v>
      </c>
      <c r="J32" s="52" t="s">
        <v>1391</v>
      </c>
      <c r="K32" s="138">
        <f t="shared" ref="K32" si="9">I32</f>
        <v>4.6728971962616359E-3</v>
      </c>
      <c r="L32" s="436">
        <v>0</v>
      </c>
      <c r="M32" s="283"/>
    </row>
    <row r="33" spans="1:13" s="135" customFormat="1" ht="20" x14ac:dyDescent="0.35">
      <c r="A33" s="669" t="s">
        <v>1333</v>
      </c>
      <c r="B33" s="412"/>
      <c r="C33" s="674"/>
      <c r="D33" s="657"/>
      <c r="E33" s="412"/>
      <c r="F33" s="409"/>
      <c r="G33" s="521"/>
      <c r="H33" s="418"/>
      <c r="I33" s="401"/>
      <c r="J33" s="52" t="s">
        <v>1392</v>
      </c>
      <c r="K33" s="138">
        <v>0</v>
      </c>
      <c r="L33" s="523"/>
      <c r="M33" s="283"/>
    </row>
    <row r="34" spans="1:13" s="135" customFormat="1" ht="20" x14ac:dyDescent="0.35">
      <c r="A34" s="669" t="s">
        <v>1332</v>
      </c>
      <c r="B34" s="412" t="s">
        <v>1329</v>
      </c>
      <c r="C34" s="673" t="s">
        <v>1364</v>
      </c>
      <c r="D34" s="657"/>
      <c r="E34" s="412"/>
      <c r="F34" s="409"/>
      <c r="G34" s="521" t="s">
        <v>26</v>
      </c>
      <c r="H34" s="418">
        <f>IF(G34='Response Guidlines'!$D$81,'Response Guidlines'!$C$81, IF(G34='Response Guidlines'!$D$82,'Response Guidlines'!$C$82,IF(G34='Response Guidlines'!$D$83,'Response Guidlines'!$C$83,IF(G34='Response Guidlines'!$D$84,'Response Guidlines'!$C$84,IF(G34='Response Guidlines'!$D$85,'Response Guidlines'!$C$85,IF(G34='Response Guidlines'!$D$86,'Response Guidlines'!$C$86,IF(G34='Response Guidlines'!$D$87,'Response Guidlines'!$C$87,"No Rating")))))))</f>
        <v>3</v>
      </c>
      <c r="I34" s="401">
        <f>(H34/$H$54)/_xlfn.XLOOKUP('Scoring Summary'!$D$21,'Response Guidlines'!$D$92:$D$191,'Response Guidlines'!$C$92:$C$191,"",0,1)</f>
        <v>2.8037383177569814E-3</v>
      </c>
      <c r="J34" s="52" t="s">
        <v>1378</v>
      </c>
      <c r="K34" s="138">
        <f t="shared" ref="K34" si="10">I34</f>
        <v>2.8037383177569814E-3</v>
      </c>
      <c r="L34" s="436">
        <v>0</v>
      </c>
      <c r="M34" s="283"/>
    </row>
    <row r="35" spans="1:13" s="135" customFormat="1" ht="20" x14ac:dyDescent="0.35">
      <c r="A35" s="669" t="s">
        <v>1334</v>
      </c>
      <c r="B35" s="412"/>
      <c r="C35" s="674"/>
      <c r="D35" s="657"/>
      <c r="E35" s="412"/>
      <c r="F35" s="409"/>
      <c r="G35" s="521"/>
      <c r="H35" s="418"/>
      <c r="I35" s="401"/>
      <c r="J35" s="52" t="s">
        <v>1379</v>
      </c>
      <c r="K35" s="138">
        <v>0</v>
      </c>
      <c r="L35" s="523"/>
      <c r="M35" s="283"/>
    </row>
    <row r="36" spans="1:13" s="135" customFormat="1" ht="20" x14ac:dyDescent="0.35">
      <c r="A36" s="669" t="s">
        <v>1333</v>
      </c>
      <c r="B36" s="679" t="s">
        <v>1352</v>
      </c>
      <c r="C36" s="673" t="s">
        <v>1365</v>
      </c>
      <c r="D36" s="657"/>
      <c r="E36" s="412"/>
      <c r="F36" s="412"/>
      <c r="G36" s="521" t="s">
        <v>26</v>
      </c>
      <c r="H36" s="418">
        <f>IF(G36='Response Guidlines'!$D$81,'Response Guidlines'!$C$81, IF(G36='Response Guidlines'!$D$82,'Response Guidlines'!$C$82,IF(G36='Response Guidlines'!$D$83,'Response Guidlines'!$C$83,IF(G36='Response Guidlines'!$D$84,'Response Guidlines'!$C$84,IF(G36='Response Guidlines'!$D$85,'Response Guidlines'!$C$85,IF(G36='Response Guidlines'!$D$86,'Response Guidlines'!$C$86,IF(G36='Response Guidlines'!$D$87,'Response Guidlines'!$C$87,"No Rating")))))))</f>
        <v>3</v>
      </c>
      <c r="I36" s="401">
        <f>(H36/$H$54)/_xlfn.XLOOKUP('Scoring Summary'!$D$21,'Response Guidlines'!$D$92:$D$191,'Response Guidlines'!$C$92:$C$191,"",0,1)</f>
        <v>2.8037383177569814E-3</v>
      </c>
      <c r="J36" s="52" t="s">
        <v>1381</v>
      </c>
      <c r="K36" s="138">
        <f t="shared" ref="K36" si="11">I36</f>
        <v>2.8037383177569814E-3</v>
      </c>
      <c r="L36" s="436">
        <v>0</v>
      </c>
      <c r="M36" s="283"/>
    </row>
    <row r="37" spans="1:13" s="135" customFormat="1" ht="20" x14ac:dyDescent="0.35">
      <c r="A37" s="669"/>
      <c r="B37" s="650"/>
      <c r="C37" s="674" t="s">
        <v>1321</v>
      </c>
      <c r="D37" s="657"/>
      <c r="E37" s="412"/>
      <c r="F37" s="412"/>
      <c r="G37" s="521"/>
      <c r="H37" s="418"/>
      <c r="I37" s="401"/>
      <c r="J37" s="52" t="s">
        <v>1380</v>
      </c>
      <c r="K37" s="138">
        <v>0</v>
      </c>
      <c r="L37" s="523"/>
      <c r="M37" s="283"/>
    </row>
    <row r="38" spans="1:13" s="135" customFormat="1" ht="30" x14ac:dyDescent="0.35">
      <c r="A38" s="669" t="s">
        <v>1335</v>
      </c>
      <c r="B38" s="412" t="s">
        <v>1326</v>
      </c>
      <c r="C38" s="673" t="s">
        <v>1366</v>
      </c>
      <c r="D38" s="657"/>
      <c r="E38" s="412"/>
      <c r="F38" s="409"/>
      <c r="G38" s="521" t="s">
        <v>28</v>
      </c>
      <c r="H38" s="418">
        <f>IF(G38='Response Guidlines'!$D$81,'Response Guidlines'!$C$81, IF(G38='Response Guidlines'!$D$82,'Response Guidlines'!$C$82,IF(G38='Response Guidlines'!$D$83,'Response Guidlines'!$C$83,IF(G38='Response Guidlines'!$D$84,'Response Guidlines'!$C$84,IF(G38='Response Guidlines'!$D$85,'Response Guidlines'!$C$85,IF(G38='Response Guidlines'!$D$86,'Response Guidlines'!$C$86,IF(G38='Response Guidlines'!$D$87,'Response Guidlines'!$C$87,"No Rating")))))))</f>
        <v>5</v>
      </c>
      <c r="I38" s="401">
        <f>(H38/$H$54)/_xlfn.XLOOKUP('Scoring Summary'!$D$21,'Response Guidlines'!$D$92:$D$191,'Response Guidlines'!$C$92:$C$191,"",0,1)</f>
        <v>4.6728971962616359E-3</v>
      </c>
      <c r="J38" s="52" t="s">
        <v>1382</v>
      </c>
      <c r="K38" s="138">
        <f t="shared" ref="K38" si="12">I38</f>
        <v>4.6728971962616359E-3</v>
      </c>
      <c r="L38" s="436">
        <v>0</v>
      </c>
      <c r="M38" s="668"/>
    </row>
    <row r="39" spans="1:13" s="135" customFormat="1" ht="20" x14ac:dyDescent="0.35">
      <c r="A39" s="669"/>
      <c r="B39" s="412"/>
      <c r="C39" s="674"/>
      <c r="D39" s="657"/>
      <c r="E39" s="412"/>
      <c r="F39" s="409"/>
      <c r="G39" s="521"/>
      <c r="H39" s="418"/>
      <c r="I39" s="401"/>
      <c r="J39" s="52" t="s">
        <v>1383</v>
      </c>
      <c r="K39" s="138">
        <v>0</v>
      </c>
      <c r="L39" s="523"/>
      <c r="M39" s="668"/>
    </row>
    <row r="40" spans="1:13" s="135" customFormat="1" ht="30" x14ac:dyDescent="0.35">
      <c r="A40" s="669" t="s">
        <v>1336</v>
      </c>
      <c r="B40" s="412" t="s">
        <v>1327</v>
      </c>
      <c r="C40" s="426" t="s">
        <v>1367</v>
      </c>
      <c r="D40" s="657"/>
      <c r="E40" s="412"/>
      <c r="F40" s="409"/>
      <c r="G40" s="521" t="s">
        <v>26</v>
      </c>
      <c r="H40" s="418">
        <f>IF(G40='Response Guidlines'!$D$81,'Response Guidlines'!$C$81, IF(G40='Response Guidlines'!$D$82,'Response Guidlines'!$C$82,IF(G40='Response Guidlines'!$D$83,'Response Guidlines'!$C$83,IF(G40='Response Guidlines'!$D$84,'Response Guidlines'!$C$84,IF(G40='Response Guidlines'!$D$85,'Response Guidlines'!$C$85,IF(G40='Response Guidlines'!$D$86,'Response Guidlines'!$C$86,IF(G40='Response Guidlines'!$D$87,'Response Guidlines'!$C$87,"No Rating")))))))</f>
        <v>3</v>
      </c>
      <c r="I40" s="401">
        <f>(H40/$H$54)/_xlfn.XLOOKUP('Scoring Summary'!$D$21,'Response Guidlines'!$D$92:$D$191,'Response Guidlines'!$C$92:$C$191,"",0,1)</f>
        <v>2.8037383177569814E-3</v>
      </c>
      <c r="J40" s="52" t="s">
        <v>1343</v>
      </c>
      <c r="K40" s="138">
        <f t="shared" ref="K40" si="13">I40</f>
        <v>2.8037383177569814E-3</v>
      </c>
      <c r="L40" s="436">
        <v>0</v>
      </c>
      <c r="M40" s="283"/>
    </row>
    <row r="41" spans="1:13" s="135" customFormat="1" ht="20" x14ac:dyDescent="0.35">
      <c r="A41" s="669"/>
      <c r="B41" s="412" t="s">
        <v>1319</v>
      </c>
      <c r="C41" s="428" t="s">
        <v>1319</v>
      </c>
      <c r="D41" s="657"/>
      <c r="E41" s="412"/>
      <c r="F41" s="409"/>
      <c r="G41" s="521"/>
      <c r="H41" s="418"/>
      <c r="I41" s="401"/>
      <c r="J41" s="52" t="s">
        <v>1320</v>
      </c>
      <c r="K41" s="138">
        <v>0</v>
      </c>
      <c r="L41" s="523"/>
      <c r="M41" s="283"/>
    </row>
    <row r="42" spans="1:13" s="135" customFormat="1" ht="40" x14ac:dyDescent="0.35">
      <c r="A42" s="666" t="s">
        <v>1337</v>
      </c>
      <c r="B42" s="446" t="s">
        <v>1353</v>
      </c>
      <c r="C42" s="673" t="s">
        <v>1368</v>
      </c>
      <c r="D42" s="657"/>
      <c r="E42" s="446"/>
      <c r="F42" s="426"/>
      <c r="G42" s="480" t="s">
        <v>26</v>
      </c>
      <c r="H42" s="418">
        <f>IF(G42='Response Guidlines'!$D$81,'Response Guidlines'!$C$81, IF(G42='Response Guidlines'!$D$82,'Response Guidlines'!$C$82,IF(G42='Response Guidlines'!$D$83,'Response Guidlines'!$C$83,IF(G42='Response Guidlines'!$D$84,'Response Guidlines'!$C$84,IF(G42='Response Guidlines'!$D$85,'Response Guidlines'!$C$85,IF(G42='Response Guidlines'!$D$86,'Response Guidlines'!$C$86,IF(G42='Response Guidlines'!$D$87,'Response Guidlines'!$C$87,"No Rating")))))))</f>
        <v>3</v>
      </c>
      <c r="I42" s="401">
        <f>(H42/$H$54)/_xlfn.XLOOKUP('Scoring Summary'!$D$21,'Response Guidlines'!$D$92:$D$191,'Response Guidlines'!$C$92:$C$191,"",0,1)</f>
        <v>2.8037383177569814E-3</v>
      </c>
      <c r="J42" s="52" t="s">
        <v>1384</v>
      </c>
      <c r="K42" s="138">
        <f t="shared" ref="K42" si="14">I42</f>
        <v>2.8037383177569814E-3</v>
      </c>
      <c r="L42" s="436">
        <v>0</v>
      </c>
      <c r="M42" s="671"/>
    </row>
    <row r="43" spans="1:13" s="135" customFormat="1" ht="30" x14ac:dyDescent="0.35">
      <c r="A43" s="667"/>
      <c r="B43" s="445"/>
      <c r="C43" s="674"/>
      <c r="D43" s="657"/>
      <c r="E43" s="445"/>
      <c r="F43" s="428"/>
      <c r="G43" s="492"/>
      <c r="H43" s="418"/>
      <c r="I43" s="401"/>
      <c r="J43" s="52" t="s">
        <v>1412</v>
      </c>
      <c r="K43" s="138">
        <v>0</v>
      </c>
      <c r="L43" s="523"/>
      <c r="M43" s="672"/>
    </row>
    <row r="44" spans="1:13" ht="30" x14ac:dyDescent="0.2">
      <c r="A44" s="666" t="s">
        <v>1338</v>
      </c>
      <c r="B44" s="446" t="s">
        <v>1322</v>
      </c>
      <c r="C44" s="424" t="s">
        <v>1396</v>
      </c>
      <c r="D44" s="657"/>
      <c r="E44" s="446"/>
      <c r="F44" s="426"/>
      <c r="G44" s="480" t="s">
        <v>29</v>
      </c>
      <c r="H44" s="418">
        <f>IF(G44='Response Guidlines'!$D$81,'Response Guidlines'!$C$81, IF(G44='Response Guidlines'!$D$82,'Response Guidlines'!$C$82,IF(G44='Response Guidlines'!$D$83,'Response Guidlines'!$C$83,IF(G44='Response Guidlines'!$D$84,'Response Guidlines'!$C$84,IF(G44='Response Guidlines'!$D$85,'Response Guidlines'!$C$85,IF(G44='Response Guidlines'!$D$86,'Response Guidlines'!$C$86,IF(G44='Response Guidlines'!$D$87,'Response Guidlines'!$C$87,"No Rating")))))))</f>
        <v>6</v>
      </c>
      <c r="I44" s="401">
        <f>(H44/$H$54)/_xlfn.XLOOKUP('Scoring Summary'!$D$21,'Response Guidlines'!$D$92:$D$191,'Response Guidlines'!$C$92:$C$191,"",0,1)</f>
        <v>5.6074766355139628E-3</v>
      </c>
      <c r="J44" s="52" t="s">
        <v>1393</v>
      </c>
      <c r="K44" s="138">
        <f t="shared" ref="K44" si="15">I44</f>
        <v>5.6074766355139628E-3</v>
      </c>
      <c r="L44" s="436">
        <v>0</v>
      </c>
      <c r="M44" s="671"/>
    </row>
    <row r="45" spans="1:13" ht="20" x14ac:dyDescent="0.2">
      <c r="A45" s="667"/>
      <c r="B45" s="445"/>
      <c r="C45" s="438"/>
      <c r="D45" s="657"/>
      <c r="E45" s="445"/>
      <c r="F45" s="428"/>
      <c r="G45" s="492"/>
      <c r="H45" s="418"/>
      <c r="I45" s="401"/>
      <c r="J45" s="52" t="s">
        <v>1413</v>
      </c>
      <c r="K45" s="138">
        <v>0</v>
      </c>
      <c r="L45" s="523"/>
      <c r="M45" s="672"/>
    </row>
    <row r="46" spans="1:13" ht="20" x14ac:dyDescent="0.2">
      <c r="A46" s="666" t="s">
        <v>1354</v>
      </c>
      <c r="B46" s="446" t="s">
        <v>1358</v>
      </c>
      <c r="C46" s="424" t="s">
        <v>1397</v>
      </c>
      <c r="D46" s="657"/>
      <c r="E46" s="446"/>
      <c r="F46" s="426"/>
      <c r="G46" s="480" t="s">
        <v>29</v>
      </c>
      <c r="H46" s="418">
        <f>IF(G46='Response Guidlines'!$D$81,'Response Guidlines'!$C$81, IF(G46='Response Guidlines'!$D$82,'Response Guidlines'!$C$82,IF(G46='Response Guidlines'!$D$83,'Response Guidlines'!$C$83,IF(G46='Response Guidlines'!$D$84,'Response Guidlines'!$C$84,IF(G46='Response Guidlines'!$D$85,'Response Guidlines'!$C$85,IF(G46='Response Guidlines'!$D$86,'Response Guidlines'!$C$86,IF(G46='Response Guidlines'!$D$87,'Response Guidlines'!$C$87,"No Rating")))))))</f>
        <v>6</v>
      </c>
      <c r="I46" s="401">
        <f>(H46/$H$54)/_xlfn.XLOOKUP('Scoring Summary'!$D$21,'Response Guidlines'!$D$92:$D$191,'Response Guidlines'!$C$92:$C$191,"",0,1)</f>
        <v>5.6074766355139628E-3</v>
      </c>
      <c r="J46" s="52" t="s">
        <v>1394</v>
      </c>
      <c r="K46" s="138">
        <f t="shared" ref="K46" si="16">I46</f>
        <v>5.6074766355139628E-3</v>
      </c>
      <c r="L46" s="436">
        <v>0</v>
      </c>
      <c r="M46" s="671"/>
    </row>
    <row r="47" spans="1:13" ht="20" x14ac:dyDescent="0.2">
      <c r="A47" s="667"/>
      <c r="B47" s="445"/>
      <c r="C47" s="438"/>
      <c r="D47" s="657"/>
      <c r="E47" s="445"/>
      <c r="F47" s="428"/>
      <c r="G47" s="492"/>
      <c r="H47" s="418"/>
      <c r="I47" s="401"/>
      <c r="J47" s="52" t="s">
        <v>1414</v>
      </c>
      <c r="K47" s="138">
        <v>0</v>
      </c>
      <c r="L47" s="523"/>
      <c r="M47" s="672"/>
    </row>
    <row r="48" spans="1:13" ht="30" x14ac:dyDescent="0.2">
      <c r="A48" s="666" t="s">
        <v>1355</v>
      </c>
      <c r="B48" s="446" t="s">
        <v>1359</v>
      </c>
      <c r="C48" s="424" t="s">
        <v>1398</v>
      </c>
      <c r="D48" s="657"/>
      <c r="E48" s="446"/>
      <c r="F48" s="426"/>
      <c r="G48" s="480" t="s">
        <v>29</v>
      </c>
      <c r="H48" s="418">
        <f>IF(G48='Response Guidlines'!$D$81,'Response Guidlines'!$C$81, IF(G48='Response Guidlines'!$D$82,'Response Guidlines'!$C$82,IF(G48='Response Guidlines'!$D$83,'Response Guidlines'!$C$83,IF(G48='Response Guidlines'!$D$84,'Response Guidlines'!$C$84,IF(G48='Response Guidlines'!$D$85,'Response Guidlines'!$C$85,IF(G48='Response Guidlines'!$D$86,'Response Guidlines'!$C$86,IF(G48='Response Guidlines'!$D$87,'Response Guidlines'!$C$87,"No Rating")))))))</f>
        <v>6</v>
      </c>
      <c r="I48" s="401">
        <f>(H48/$H$54)/_xlfn.XLOOKUP('Scoring Summary'!$D$21,'Response Guidlines'!$D$92:$D$191,'Response Guidlines'!$C$92:$C$191,"",0,1)</f>
        <v>5.6074766355139628E-3</v>
      </c>
      <c r="J48" s="52" t="s">
        <v>1344</v>
      </c>
      <c r="K48" s="138">
        <f t="shared" ref="K48" si="17">I48</f>
        <v>5.6074766355139628E-3</v>
      </c>
      <c r="L48" s="436">
        <v>0</v>
      </c>
      <c r="M48" s="671"/>
    </row>
    <row r="49" spans="1:13" ht="30" x14ac:dyDescent="0.2">
      <c r="A49" s="667"/>
      <c r="B49" s="445"/>
      <c r="C49" s="438"/>
      <c r="D49" s="657"/>
      <c r="E49" s="445"/>
      <c r="F49" s="428"/>
      <c r="G49" s="492"/>
      <c r="H49" s="418"/>
      <c r="I49" s="401"/>
      <c r="J49" s="52" t="s">
        <v>1415</v>
      </c>
      <c r="K49" s="138">
        <v>0</v>
      </c>
      <c r="L49" s="523"/>
      <c r="M49" s="672"/>
    </row>
    <row r="50" spans="1:13" ht="30" x14ac:dyDescent="0.2">
      <c r="A50" s="666" t="s">
        <v>1356</v>
      </c>
      <c r="B50" s="446" t="s">
        <v>1406</v>
      </c>
      <c r="C50" s="424" t="s">
        <v>1399</v>
      </c>
      <c r="D50" s="657"/>
      <c r="E50" s="446"/>
      <c r="F50" s="426"/>
      <c r="G50" s="480" t="s">
        <v>29</v>
      </c>
      <c r="H50" s="418">
        <f>IF(G50='Response Guidlines'!$D$81,'Response Guidlines'!$C$81, IF(G50='Response Guidlines'!$D$82,'Response Guidlines'!$C$82,IF(G50='Response Guidlines'!$D$83,'Response Guidlines'!$C$83,IF(G50='Response Guidlines'!$D$84,'Response Guidlines'!$C$84,IF(G50='Response Guidlines'!$D$85,'Response Guidlines'!$C$85,IF(G50='Response Guidlines'!$D$86,'Response Guidlines'!$C$86,IF(G50='Response Guidlines'!$D$87,'Response Guidlines'!$C$87,"No Rating")))))))</f>
        <v>6</v>
      </c>
      <c r="I50" s="401">
        <f>(H50/$H$54)/_xlfn.XLOOKUP('Scoring Summary'!$D$21,'Response Guidlines'!$D$92:$D$191,'Response Guidlines'!$C$92:$C$191,"",0,1)</f>
        <v>5.6074766355139628E-3</v>
      </c>
      <c r="J50" s="52" t="s">
        <v>1343</v>
      </c>
      <c r="K50" s="138">
        <f t="shared" ref="K50" si="18">I50</f>
        <v>5.6074766355139628E-3</v>
      </c>
      <c r="L50" s="436">
        <v>0</v>
      </c>
      <c r="M50" s="671"/>
    </row>
    <row r="51" spans="1:13" ht="20" x14ac:dyDescent="0.2">
      <c r="A51" s="667"/>
      <c r="B51" s="445"/>
      <c r="C51" s="438"/>
      <c r="D51" s="657"/>
      <c r="E51" s="445"/>
      <c r="F51" s="428"/>
      <c r="G51" s="492"/>
      <c r="H51" s="418"/>
      <c r="I51" s="401"/>
      <c r="J51" s="52" t="s">
        <v>1320</v>
      </c>
      <c r="K51" s="138">
        <v>0</v>
      </c>
      <c r="L51" s="523"/>
      <c r="M51" s="672"/>
    </row>
    <row r="52" spans="1:13" ht="20" x14ac:dyDescent="0.2">
      <c r="A52" s="666" t="s">
        <v>1357</v>
      </c>
      <c r="B52" s="446" t="s">
        <v>1360</v>
      </c>
      <c r="C52" s="673" t="s">
        <v>1369</v>
      </c>
      <c r="D52" s="657"/>
      <c r="E52" s="446"/>
      <c r="F52" s="426"/>
      <c r="G52" s="480" t="s">
        <v>29</v>
      </c>
      <c r="H52" s="418">
        <f>IF(G52='Response Guidlines'!$D$81,'Response Guidlines'!$C$81, IF(G52='Response Guidlines'!$D$82,'Response Guidlines'!$C$82,IF(G52='Response Guidlines'!$D$83,'Response Guidlines'!$C$83,IF(G52='Response Guidlines'!$D$84,'Response Guidlines'!$C$84,IF(G52='Response Guidlines'!$D$85,'Response Guidlines'!$C$85,IF(G52='Response Guidlines'!$D$86,'Response Guidlines'!$C$86,IF(G52='Response Guidlines'!$D$87,'Response Guidlines'!$C$87,"No Rating")))))))</f>
        <v>6</v>
      </c>
      <c r="I52" s="401">
        <f>(H52/$H$54)/_xlfn.XLOOKUP('Scoring Summary'!$D$21,'Response Guidlines'!$D$92:$D$191,'Response Guidlines'!$C$92:$C$191,"",0,1)</f>
        <v>5.6074766355139628E-3</v>
      </c>
      <c r="J52" s="52" t="s">
        <v>1395</v>
      </c>
      <c r="K52" s="138">
        <f t="shared" ref="K52" si="19">I52</f>
        <v>5.6074766355139628E-3</v>
      </c>
      <c r="L52" s="436">
        <v>0</v>
      </c>
      <c r="M52" s="671"/>
    </row>
    <row r="53" spans="1:13" ht="20.5" thickBot="1" x14ac:dyDescent="0.25">
      <c r="A53" s="667"/>
      <c r="B53" s="445"/>
      <c r="C53" s="674"/>
      <c r="D53" s="657"/>
      <c r="E53" s="445"/>
      <c r="F53" s="428"/>
      <c r="G53" s="492"/>
      <c r="H53" s="418"/>
      <c r="I53" s="401"/>
      <c r="J53" s="52" t="s">
        <v>1416</v>
      </c>
      <c r="K53" s="138">
        <v>0</v>
      </c>
      <c r="L53" s="523"/>
      <c r="M53" s="672"/>
    </row>
    <row r="54" spans="1:13" ht="11" thickBot="1" x14ac:dyDescent="0.25">
      <c r="A54" s="354"/>
      <c r="B54" s="355" t="s">
        <v>138</v>
      </c>
      <c r="C54" s="355"/>
      <c r="D54" s="355"/>
      <c r="E54" s="355"/>
      <c r="F54" s="355"/>
      <c r="G54" s="355"/>
      <c r="H54" s="356">
        <f>SUM(H12:H53)</f>
        <v>107</v>
      </c>
      <c r="I54" s="357">
        <f>SUM(I12:I53)</f>
        <v>9.9999999999998992E-2</v>
      </c>
      <c r="J54" s="478" t="s">
        <v>139</v>
      </c>
      <c r="K54" s="670"/>
      <c r="L54" s="358">
        <v>0</v>
      </c>
      <c r="M54" s="359"/>
    </row>
  </sheetData>
  <mergeCells count="230">
    <mergeCell ref="A34:A35"/>
    <mergeCell ref="B26:B27"/>
    <mergeCell ref="C26:C27"/>
    <mergeCell ref="A28:A29"/>
    <mergeCell ref="B28:B29"/>
    <mergeCell ref="C28:C29"/>
    <mergeCell ref="B30:B31"/>
    <mergeCell ref="C34:C35"/>
    <mergeCell ref="B34:B35"/>
    <mergeCell ref="B32:B33"/>
    <mergeCell ref="M20:M21"/>
    <mergeCell ref="F20:F21"/>
    <mergeCell ref="B40:B41"/>
    <mergeCell ref="C40:C41"/>
    <mergeCell ref="D40:D41"/>
    <mergeCell ref="D28:D29"/>
    <mergeCell ref="E28:E29"/>
    <mergeCell ref="F28:F29"/>
    <mergeCell ref="G28:G29"/>
    <mergeCell ref="C30:C31"/>
    <mergeCell ref="D30:D31"/>
    <mergeCell ref="E30:E31"/>
    <mergeCell ref="I40:I41"/>
    <mergeCell ref="B36:B37"/>
    <mergeCell ref="A40:A41"/>
    <mergeCell ref="C36:C37"/>
    <mergeCell ref="D36:D37"/>
    <mergeCell ref="E36:E37"/>
    <mergeCell ref="C32:C33"/>
    <mergeCell ref="J9:M9"/>
    <mergeCell ref="G42:G43"/>
    <mergeCell ref="H42:H43"/>
    <mergeCell ref="I42:I43"/>
    <mergeCell ref="L42:L43"/>
    <mergeCell ref="M42:M43"/>
    <mergeCell ref="F42:F43"/>
    <mergeCell ref="F38:F39"/>
    <mergeCell ref="G38:G39"/>
    <mergeCell ref="H38:H39"/>
    <mergeCell ref="I38:I39"/>
    <mergeCell ref="F36:F37"/>
    <mergeCell ref="G36:G37"/>
    <mergeCell ref="H36:H37"/>
    <mergeCell ref="I36:I37"/>
    <mergeCell ref="F32:F33"/>
    <mergeCell ref="G32:G33"/>
    <mergeCell ref="L38:L39"/>
    <mergeCell ref="M38:M39"/>
    <mergeCell ref="G30:G31"/>
    <mergeCell ref="H30:H31"/>
    <mergeCell ref="I30:I31"/>
    <mergeCell ref="L30:L31"/>
    <mergeCell ref="D32:D33"/>
    <mergeCell ref="E32:E33"/>
    <mergeCell ref="F26:F27"/>
    <mergeCell ref="G26:G27"/>
    <mergeCell ref="H26:H27"/>
    <mergeCell ref="I26:I27"/>
    <mergeCell ref="D26:D27"/>
    <mergeCell ref="E26:E27"/>
    <mergeCell ref="M30:M31"/>
    <mergeCell ref="F30:F31"/>
    <mergeCell ref="D38:D39"/>
    <mergeCell ref="E38:E39"/>
    <mergeCell ref="H32:H33"/>
    <mergeCell ref="I32:I33"/>
    <mergeCell ref="I34:I35"/>
    <mergeCell ref="H28:H29"/>
    <mergeCell ref="I28:I29"/>
    <mergeCell ref="A20:A21"/>
    <mergeCell ref="B20:B21"/>
    <mergeCell ref="C20:C21"/>
    <mergeCell ref="D20:D21"/>
    <mergeCell ref="E20:E21"/>
    <mergeCell ref="G20:G21"/>
    <mergeCell ref="H20:H21"/>
    <mergeCell ref="I20:I21"/>
    <mergeCell ref="L20:L21"/>
    <mergeCell ref="F18:F19"/>
    <mergeCell ref="G18:G19"/>
    <mergeCell ref="H18:H19"/>
    <mergeCell ref="I18:I19"/>
    <mergeCell ref="L18:L19"/>
    <mergeCell ref="M18:M19"/>
    <mergeCell ref="G16:G17"/>
    <mergeCell ref="H16:H17"/>
    <mergeCell ref="I16:I17"/>
    <mergeCell ref="L16:L17"/>
    <mergeCell ref="M16:M17"/>
    <mergeCell ref="F16:F17"/>
    <mergeCell ref="M14:M15"/>
    <mergeCell ref="G12:G13"/>
    <mergeCell ref="H12:H13"/>
    <mergeCell ref="I12:I13"/>
    <mergeCell ref="A14:A15"/>
    <mergeCell ref="B14:B15"/>
    <mergeCell ref="C14:C15"/>
    <mergeCell ref="D14:D15"/>
    <mergeCell ref="E14:E15"/>
    <mergeCell ref="E2:G4"/>
    <mergeCell ref="A10:A11"/>
    <mergeCell ref="B10:C10"/>
    <mergeCell ref="D10:F10"/>
    <mergeCell ref="C12:C13"/>
    <mergeCell ref="F14:F15"/>
    <mergeCell ref="G14:G15"/>
    <mergeCell ref="D8:F9"/>
    <mergeCell ref="B12:B13"/>
    <mergeCell ref="A12:A13"/>
    <mergeCell ref="D12:D13"/>
    <mergeCell ref="E12:E13"/>
    <mergeCell ref="F12:F13"/>
    <mergeCell ref="M44:M45"/>
    <mergeCell ref="L44:L45"/>
    <mergeCell ref="I44:I45"/>
    <mergeCell ref="H44:H45"/>
    <mergeCell ref="G44:G45"/>
    <mergeCell ref="F44:F45"/>
    <mergeCell ref="E44:E45"/>
    <mergeCell ref="D44:D45"/>
    <mergeCell ref="C44:C45"/>
    <mergeCell ref="M46:M47"/>
    <mergeCell ref="A48:A49"/>
    <mergeCell ref="B48:B49"/>
    <mergeCell ref="C48:C49"/>
    <mergeCell ref="D48:D49"/>
    <mergeCell ref="E48:E49"/>
    <mergeCell ref="F48:F49"/>
    <mergeCell ref="G48:G49"/>
    <mergeCell ref="H48:H49"/>
    <mergeCell ref="I48:I49"/>
    <mergeCell ref="L48:L49"/>
    <mergeCell ref="M48:M49"/>
    <mergeCell ref="L50:L51"/>
    <mergeCell ref="H46:H47"/>
    <mergeCell ref="I46:I47"/>
    <mergeCell ref="L46:L47"/>
    <mergeCell ref="M50:M51"/>
    <mergeCell ref="A52:A53"/>
    <mergeCell ref="B52:B53"/>
    <mergeCell ref="C52:C53"/>
    <mergeCell ref="D52:D53"/>
    <mergeCell ref="E52:E53"/>
    <mergeCell ref="F52:F53"/>
    <mergeCell ref="G52:G53"/>
    <mergeCell ref="H52:H53"/>
    <mergeCell ref="I52:I53"/>
    <mergeCell ref="L52:L53"/>
    <mergeCell ref="M52:M53"/>
    <mergeCell ref="A50:A51"/>
    <mergeCell ref="B50:B51"/>
    <mergeCell ref="C50:C51"/>
    <mergeCell ref="D50:D51"/>
    <mergeCell ref="E50:E51"/>
    <mergeCell ref="F50:F51"/>
    <mergeCell ref="G50:G51"/>
    <mergeCell ref="H50:H51"/>
    <mergeCell ref="B44:B45"/>
    <mergeCell ref="A44:A45"/>
    <mergeCell ref="A36:A37"/>
    <mergeCell ref="E24:E25"/>
    <mergeCell ref="D34:D35"/>
    <mergeCell ref="E34:E35"/>
    <mergeCell ref="F34:F35"/>
    <mergeCell ref="G34:G35"/>
    <mergeCell ref="H34:H35"/>
    <mergeCell ref="A42:A43"/>
    <mergeCell ref="B42:B43"/>
    <mergeCell ref="C42:C43"/>
    <mergeCell ref="D42:D43"/>
    <mergeCell ref="E42:E43"/>
    <mergeCell ref="A38:A39"/>
    <mergeCell ref="B38:B39"/>
    <mergeCell ref="C38:C39"/>
    <mergeCell ref="A30:A31"/>
    <mergeCell ref="E40:E41"/>
    <mergeCell ref="F40:F41"/>
    <mergeCell ref="G40:G41"/>
    <mergeCell ref="H40:H41"/>
    <mergeCell ref="A26:A27"/>
    <mergeCell ref="A32:A33"/>
    <mergeCell ref="J54:K54"/>
    <mergeCell ref="G46:G47"/>
    <mergeCell ref="F46:F47"/>
    <mergeCell ref="E46:E47"/>
    <mergeCell ref="D46:D47"/>
    <mergeCell ref="C46:C47"/>
    <mergeCell ref="B46:B47"/>
    <mergeCell ref="A46:A47"/>
    <mergeCell ref="I50:I51"/>
    <mergeCell ref="M22:M23"/>
    <mergeCell ref="C24:C25"/>
    <mergeCell ref="B24:B25"/>
    <mergeCell ref="D24:D25"/>
    <mergeCell ref="F24:F25"/>
    <mergeCell ref="G24:G25"/>
    <mergeCell ref="H24:H25"/>
    <mergeCell ref="I24:I25"/>
    <mergeCell ref="C22:C23"/>
    <mergeCell ref="B22:B23"/>
    <mergeCell ref="D22:D23"/>
    <mergeCell ref="E22:E23"/>
    <mergeCell ref="F22:F23"/>
    <mergeCell ref="G22:G23"/>
    <mergeCell ref="H22:H23"/>
    <mergeCell ref="I22:I23"/>
    <mergeCell ref="A24:A25"/>
    <mergeCell ref="L12:L13"/>
    <mergeCell ref="L24:L25"/>
    <mergeCell ref="L26:L27"/>
    <mergeCell ref="L28:L29"/>
    <mergeCell ref="L32:L33"/>
    <mergeCell ref="L34:L35"/>
    <mergeCell ref="L36:L37"/>
    <mergeCell ref="L40:L41"/>
    <mergeCell ref="L22:L23"/>
    <mergeCell ref="A22:A23"/>
    <mergeCell ref="H14:H15"/>
    <mergeCell ref="I14:I15"/>
    <mergeCell ref="L14:L15"/>
    <mergeCell ref="A18:A19"/>
    <mergeCell ref="B18:B19"/>
    <mergeCell ref="C18:C19"/>
    <mergeCell ref="D18:D19"/>
    <mergeCell ref="E18:E19"/>
    <mergeCell ref="A16:A17"/>
    <mergeCell ref="B16:B17"/>
    <mergeCell ref="C16:C17"/>
    <mergeCell ref="D16:D17"/>
    <mergeCell ref="E16:E17"/>
  </mergeCells>
  <phoneticPr fontId="34" type="noConversion"/>
  <dataValidations count="2">
    <dataValidation type="list" allowBlank="1" showInputMessage="1" showErrorMessage="1" sqref="L12:L53" xr:uid="{F151BE42-AA43-4B5D-A6B3-8A3BF47CDDF2}">
      <formula1>$K12:$K13</formula1>
    </dataValidation>
    <dataValidation type="list" allowBlank="1" showInputMessage="1" showErrorMessage="1" sqref="D12:D53" xr:uid="{BCA51721-E15B-44B2-B913-46994DC7203F}">
      <formula1>$J12:$J13</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3DF7F6D-234B-4C55-B643-AEB398B67B59}">
          <x14:formula1>
            <xm:f>'Response Guidlines'!$D$81:$D$87</xm:f>
          </x14:formula1>
          <xm:sqref>G12:G53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32BC4-617B-4742-9480-D642A3A48EBB}">
  <sheetPr>
    <tabColor rgb="FF22A2A8"/>
  </sheetPr>
  <dimension ref="A1:M3"/>
  <sheetViews>
    <sheetView workbookViewId="0">
      <selection activeCell="R25" sqref="R25"/>
    </sheetView>
  </sheetViews>
  <sheetFormatPr defaultRowHeight="14.5" x14ac:dyDescent="0.35"/>
  <cols>
    <col min="10" max="10" width="21" customWidth="1"/>
  </cols>
  <sheetData>
    <row r="1" spans="1:13" s="135" customFormat="1" ht="80" x14ac:dyDescent="0.35">
      <c r="A1" s="363"/>
      <c r="B1" s="52"/>
      <c r="C1" s="364"/>
      <c r="D1" s="167"/>
      <c r="E1" s="52"/>
      <c r="F1" s="360"/>
      <c r="G1" s="362"/>
      <c r="H1" s="361"/>
      <c r="I1" s="138"/>
      <c r="J1" s="52" t="s">
        <v>1341</v>
      </c>
      <c r="K1" s="138">
        <v>0</v>
      </c>
      <c r="L1" s="351"/>
      <c r="M1" s="283"/>
    </row>
    <row r="3" spans="1:13" x14ac:dyDescent="0.35">
      <c r="J3" t="s">
        <v>1407</v>
      </c>
    </row>
  </sheetData>
  <dataValidations count="2">
    <dataValidation type="list" allowBlank="1" showInputMessage="1" showErrorMessage="1" sqref="L1" xr:uid="{7471D3B7-C138-44D6-A885-BD9C11AD1005}">
      <formula1>$K$26:$K$26</formula1>
    </dataValidation>
    <dataValidation type="list" allowBlank="1" showInputMessage="1" showErrorMessage="1" sqref="D1" xr:uid="{9DDDA441-A1D4-4D6C-8A87-A9B02B18E8AD}">
      <formula1>$J$26:$J$26</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F3DF7F6D-234B-4C55-B643-AEB398B67B59}">
          <x14:formula1>
            <xm:f>'Response Guidlines'!$D$81:$D$87</xm:f>
          </x14:formula1>
          <xm:sqref>G1</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79033-E846-41C2-9B44-8EECE37BDEA7}">
  <sheetPr>
    <tabColor rgb="FF22A2A8"/>
    <pageSetUpPr fitToPage="1"/>
  </sheetPr>
  <dimension ref="A1:R51"/>
  <sheetViews>
    <sheetView topLeftCell="A30" zoomScaleNormal="100" workbookViewId="0">
      <selection activeCell="I12" sqref="I12:I14"/>
    </sheetView>
  </sheetViews>
  <sheetFormatPr defaultColWidth="9.26953125" defaultRowHeight="10.5" x14ac:dyDescent="0.25"/>
  <cols>
    <col min="1" max="1" width="3.26953125" style="260" bestFit="1" customWidth="1"/>
    <col min="2" max="2" width="37.26953125" style="257" customWidth="1"/>
    <col min="3" max="3" width="35.7265625" style="257" customWidth="1"/>
    <col min="4" max="4" width="21.7265625" style="257" customWidth="1"/>
    <col min="5" max="5" width="27.54296875" style="257" customWidth="1"/>
    <col min="6" max="6" width="22.54296875" style="257" bestFit="1" customWidth="1"/>
    <col min="7" max="7" width="10.7265625" style="257" bestFit="1" customWidth="1"/>
    <col min="8" max="8" width="6.7265625" style="257" bestFit="1" customWidth="1"/>
    <col min="9" max="9" width="7.26953125" style="261" customWidth="1"/>
    <col min="10" max="10" width="30.7265625" style="262" customWidth="1"/>
    <col min="11" max="11" width="5.26953125" style="263" customWidth="1"/>
    <col min="12" max="12" width="5.453125" style="258" customWidth="1"/>
    <col min="13" max="13" width="40.453125" style="264" customWidth="1"/>
    <col min="14" max="14" width="42.7265625" style="266" hidden="1" customWidth="1"/>
    <col min="15" max="18" width="9.26953125" style="265"/>
    <col min="19" max="16384" width="9.26953125" style="258"/>
  </cols>
  <sheetData>
    <row r="1" spans="1:18" x14ac:dyDescent="0.25">
      <c r="A1" s="19"/>
      <c r="B1" s="76"/>
      <c r="C1" s="76"/>
      <c r="D1" s="76"/>
      <c r="E1" s="76"/>
      <c r="F1" s="76"/>
      <c r="G1" s="76"/>
      <c r="H1" s="76"/>
      <c r="I1" s="17"/>
      <c r="J1" s="16"/>
      <c r="K1" s="15"/>
      <c r="L1" s="13"/>
      <c r="M1" s="14"/>
      <c r="N1" s="118"/>
      <c r="O1" s="113"/>
      <c r="P1" s="113"/>
      <c r="Q1" s="113"/>
      <c r="R1" s="113"/>
    </row>
    <row r="2" spans="1:18" ht="15.5" x14ac:dyDescent="0.35">
      <c r="A2" s="19"/>
      <c r="B2" s="11" t="s">
        <v>51</v>
      </c>
      <c r="C2" s="12" t="str">
        <f>'Scoring Summary'!C2</f>
        <v>&lt;insert before tender publication&gt;</v>
      </c>
      <c r="D2" s="46"/>
      <c r="E2" s="390" t="s">
        <v>617</v>
      </c>
      <c r="F2" s="390"/>
      <c r="G2" s="390"/>
      <c r="H2" s="46"/>
      <c r="I2" s="46"/>
      <c r="J2" s="46"/>
      <c r="K2" s="46"/>
      <c r="L2" s="46"/>
      <c r="M2" s="46"/>
      <c r="N2" s="118"/>
      <c r="O2" s="113"/>
      <c r="P2" s="113"/>
      <c r="Q2" s="113"/>
      <c r="R2" s="113"/>
    </row>
    <row r="3" spans="1:18" ht="28.5" x14ac:dyDescent="0.35">
      <c r="A3" s="19"/>
      <c r="B3" s="11" t="s">
        <v>54</v>
      </c>
      <c r="C3" s="12" t="str">
        <f>'Scoring Summary'!C3</f>
        <v>IT00641 Dx Commercial Energy Trader (Dx CET)</v>
      </c>
      <c r="D3" s="46"/>
      <c r="E3" s="390"/>
      <c r="F3" s="390"/>
      <c r="G3" s="390"/>
      <c r="H3" s="46"/>
      <c r="I3" s="46"/>
      <c r="J3" s="46"/>
      <c r="K3" s="46"/>
      <c r="L3" s="46"/>
      <c r="M3" s="46"/>
      <c r="N3" s="118"/>
      <c r="O3" s="113"/>
      <c r="P3" s="113"/>
      <c r="Q3" s="113"/>
      <c r="R3" s="113"/>
    </row>
    <row r="4" spans="1:18" ht="15.5" x14ac:dyDescent="0.35">
      <c r="A4" s="19"/>
      <c r="B4" s="11" t="s">
        <v>55</v>
      </c>
      <c r="C4" s="346">
        <f>'Scoring Summary'!C4</f>
        <v>0.7</v>
      </c>
      <c r="D4" s="46"/>
      <c r="E4" s="390"/>
      <c r="F4" s="390"/>
      <c r="G4" s="390"/>
      <c r="H4" s="46"/>
      <c r="I4" s="46"/>
      <c r="J4" s="46"/>
      <c r="K4" s="46"/>
      <c r="L4" s="46"/>
      <c r="M4" s="46"/>
      <c r="N4" s="118"/>
      <c r="O4" s="113"/>
      <c r="P4" s="113"/>
      <c r="Q4" s="113"/>
      <c r="R4" s="113"/>
    </row>
    <row r="5" spans="1:18" ht="15.5" x14ac:dyDescent="0.35">
      <c r="A5" s="19"/>
      <c r="B5" s="11" t="s">
        <v>84</v>
      </c>
      <c r="C5" s="10" t="str">
        <f>'Scoring Summary'!C5</f>
        <v>&lt;Evaluator to complete&gt;</v>
      </c>
      <c r="D5" s="46"/>
      <c r="E5" s="75"/>
      <c r="F5" s="75"/>
      <c r="G5" s="75"/>
      <c r="H5" s="46"/>
      <c r="I5" s="46"/>
      <c r="J5" s="46"/>
      <c r="K5" s="46"/>
      <c r="L5" s="46"/>
      <c r="M5" s="46"/>
      <c r="N5" s="118"/>
      <c r="O5" s="113"/>
      <c r="P5" s="113"/>
      <c r="Q5" s="113"/>
      <c r="R5" s="113"/>
    </row>
    <row r="6" spans="1:18" ht="15.5" x14ac:dyDescent="0.35">
      <c r="A6" s="19"/>
      <c r="B6" s="11" t="s">
        <v>58</v>
      </c>
      <c r="C6" s="10" t="str">
        <f>'Scoring Summary'!C6</f>
        <v>&lt;Evaluator to complete&gt;</v>
      </c>
      <c r="D6" s="46"/>
      <c r="E6" s="46"/>
      <c r="F6" s="46"/>
      <c r="G6" s="46"/>
      <c r="H6" s="46"/>
      <c r="I6" s="46"/>
      <c r="J6" s="46"/>
      <c r="K6" s="46"/>
      <c r="L6" s="46"/>
      <c r="M6" s="46"/>
      <c r="N6" s="118"/>
      <c r="O6" s="113"/>
      <c r="P6" s="113"/>
      <c r="Q6" s="113"/>
      <c r="R6" s="113"/>
    </row>
    <row r="7" spans="1:18" ht="15.5" x14ac:dyDescent="0.35">
      <c r="A7" s="19"/>
      <c r="B7" s="11" t="s">
        <v>59</v>
      </c>
      <c r="C7" s="10" t="str">
        <f>'Scoring Summary'!C7</f>
        <v>&lt;Evaluator to complete&gt;</v>
      </c>
      <c r="D7" s="46"/>
      <c r="E7" s="46"/>
      <c r="F7" s="46"/>
      <c r="G7" s="46"/>
      <c r="H7" s="46"/>
      <c r="I7" s="46"/>
      <c r="J7" s="46"/>
      <c r="K7" s="46"/>
      <c r="L7" s="46"/>
      <c r="M7" s="46"/>
      <c r="N7" s="118"/>
      <c r="O7" s="113"/>
      <c r="P7" s="113"/>
      <c r="Q7" s="113"/>
      <c r="R7" s="113"/>
    </row>
    <row r="8" spans="1:18" ht="14" x14ac:dyDescent="0.3">
      <c r="A8" s="19"/>
      <c r="B8" s="11" t="s">
        <v>60</v>
      </c>
      <c r="C8" s="10"/>
      <c r="D8" s="466" t="s">
        <v>1278</v>
      </c>
      <c r="E8" s="467"/>
      <c r="F8" s="468"/>
      <c r="G8" s="318"/>
      <c r="H8" s="318"/>
      <c r="I8" s="318"/>
      <c r="J8" s="318"/>
      <c r="K8" s="318"/>
      <c r="L8" s="318"/>
      <c r="M8" s="318"/>
      <c r="N8" s="118"/>
      <c r="O8" s="113"/>
      <c r="P8" s="113"/>
      <c r="Q8" s="113"/>
      <c r="R8" s="113"/>
    </row>
    <row r="9" spans="1:18" ht="13.5" thickBot="1" x14ac:dyDescent="0.35">
      <c r="A9" s="19"/>
      <c r="B9" s="30"/>
      <c r="C9" s="30"/>
      <c r="D9" s="469"/>
      <c r="E9" s="470"/>
      <c r="F9" s="471"/>
      <c r="G9" s="319"/>
      <c r="H9" s="319"/>
      <c r="I9" s="320"/>
      <c r="J9" s="472" t="s">
        <v>1279</v>
      </c>
      <c r="K9" s="472"/>
      <c r="L9" s="472"/>
      <c r="M9" s="472"/>
      <c r="N9" s="118"/>
      <c r="O9" s="113"/>
      <c r="P9" s="113"/>
      <c r="Q9" s="113"/>
      <c r="R9" s="113"/>
    </row>
    <row r="10" spans="1:18" x14ac:dyDescent="0.2">
      <c r="A10" s="447" t="s">
        <v>85</v>
      </c>
      <c r="B10" s="527" t="s">
        <v>86</v>
      </c>
      <c r="C10" s="528"/>
      <c r="D10" s="504" t="s">
        <v>87</v>
      </c>
      <c r="E10" s="505"/>
      <c r="F10" s="506"/>
      <c r="G10" s="74"/>
      <c r="H10" s="74"/>
      <c r="I10" s="73" t="s">
        <v>88</v>
      </c>
      <c r="J10" s="72"/>
      <c r="K10" s="72"/>
      <c r="L10" s="72"/>
      <c r="M10" s="71"/>
      <c r="N10" s="118"/>
      <c r="O10" s="113"/>
      <c r="P10" s="113"/>
      <c r="Q10" s="113"/>
      <c r="R10" s="113"/>
    </row>
    <row r="11" spans="1:18" s="259" customFormat="1" ht="58.15" customHeight="1" thickBot="1" x14ac:dyDescent="0.4">
      <c r="A11" s="448"/>
      <c r="B11" s="256" t="s">
        <v>89</v>
      </c>
      <c r="C11" s="69" t="s">
        <v>62</v>
      </c>
      <c r="D11" s="104" t="s">
        <v>90</v>
      </c>
      <c r="E11" s="105" t="s">
        <v>64</v>
      </c>
      <c r="F11" s="106" t="s">
        <v>91</v>
      </c>
      <c r="G11" s="80" t="s">
        <v>92</v>
      </c>
      <c r="H11" s="107" t="s">
        <v>93</v>
      </c>
      <c r="I11" s="108" t="s">
        <v>94</v>
      </c>
      <c r="J11" s="140" t="s">
        <v>95</v>
      </c>
      <c r="K11" s="141" t="s">
        <v>96</v>
      </c>
      <c r="L11" s="142" t="s">
        <v>67</v>
      </c>
      <c r="M11" s="143" t="s">
        <v>68</v>
      </c>
      <c r="N11" s="308"/>
      <c r="O11" s="135"/>
      <c r="P11" s="135"/>
      <c r="Q11" s="135"/>
      <c r="R11" s="135"/>
    </row>
    <row r="12" spans="1:18" s="13" customFormat="1" ht="30.5" x14ac:dyDescent="0.2">
      <c r="A12" s="680" t="s">
        <v>618</v>
      </c>
      <c r="B12" s="691" t="s">
        <v>619</v>
      </c>
      <c r="C12" s="692" t="s">
        <v>620</v>
      </c>
      <c r="D12" s="691"/>
      <c r="E12" s="693" t="s">
        <v>99</v>
      </c>
      <c r="F12" s="694"/>
      <c r="G12" s="695" t="s">
        <v>29</v>
      </c>
      <c r="H12" s="697">
        <f>IF(G12='Response Guidlines'!$D$81,'Response Guidlines'!$C$81, IF(G12='Response Guidlines'!$D$82,'Response Guidlines'!$C$82,IF(G12='Response Guidlines'!$D$83,'Response Guidlines'!$C$83,IF(G12='Response Guidlines'!$D$84,'Response Guidlines'!$C$84,IF(G12='Response Guidlines'!$D$85,'Response Guidlines'!$C$85,IF(G12='Response Guidlines'!$D$86,'Response Guidlines'!$C$86,IF(G12='Response Guidlines'!$D$87,'Response Guidlines'!$C$87,"No Rating")))))))</f>
        <v>6</v>
      </c>
      <c r="I12" s="698">
        <f>(H12/$H$51)/_xlfn.XLOOKUP('Scoring Summary'!$D$23,'Response Guidlines'!$D$92:$D$191,'Response Guidlines'!$C$92:$C$191,"",0,1)</f>
        <v>1.1538461538461425E-2</v>
      </c>
      <c r="J12" s="297" t="s">
        <v>621</v>
      </c>
      <c r="K12" s="298">
        <f>I12</f>
        <v>1.1538461538461425E-2</v>
      </c>
      <c r="L12" s="699">
        <v>0</v>
      </c>
      <c r="M12" s="696"/>
      <c r="N12" s="118"/>
      <c r="O12" s="113"/>
      <c r="P12" s="113"/>
      <c r="Q12" s="113"/>
      <c r="R12" s="113"/>
    </row>
    <row r="13" spans="1:18" s="13" customFormat="1" ht="30.5" x14ac:dyDescent="0.2">
      <c r="A13" s="680"/>
      <c r="B13" s="682"/>
      <c r="C13" s="683"/>
      <c r="D13" s="682"/>
      <c r="E13" s="684"/>
      <c r="F13" s="685"/>
      <c r="G13" s="686"/>
      <c r="H13" s="687"/>
      <c r="I13" s="688"/>
      <c r="J13" s="295" t="s">
        <v>622</v>
      </c>
      <c r="K13" s="296">
        <f>K12*0.7</f>
        <v>8.0769230769229972E-3</v>
      </c>
      <c r="L13" s="689"/>
      <c r="M13" s="690"/>
      <c r="N13" s="118"/>
      <c r="O13" s="113"/>
      <c r="P13" s="113"/>
      <c r="Q13" s="113"/>
      <c r="R13" s="113"/>
    </row>
    <row r="14" spans="1:18" s="13" customFormat="1" thickBot="1" x14ac:dyDescent="0.25">
      <c r="A14" s="681"/>
      <c r="B14" s="682"/>
      <c r="C14" s="683"/>
      <c r="D14" s="682"/>
      <c r="E14" s="684"/>
      <c r="F14" s="685"/>
      <c r="G14" s="686"/>
      <c r="H14" s="687"/>
      <c r="I14" s="688"/>
      <c r="J14" s="295" t="s">
        <v>623</v>
      </c>
      <c r="K14" s="296">
        <v>0</v>
      </c>
      <c r="L14" s="689"/>
      <c r="M14" s="690"/>
      <c r="N14" s="118"/>
      <c r="O14" s="113"/>
      <c r="P14" s="113"/>
      <c r="Q14" s="113"/>
      <c r="R14" s="113"/>
    </row>
    <row r="15" spans="1:18" s="13" customFormat="1" ht="30.5" x14ac:dyDescent="0.2">
      <c r="A15" s="680" t="s">
        <v>624</v>
      </c>
      <c r="B15" s="682" t="s">
        <v>625</v>
      </c>
      <c r="C15" s="683" t="s">
        <v>626</v>
      </c>
      <c r="D15" s="682"/>
      <c r="E15" s="684"/>
      <c r="F15" s="685"/>
      <c r="G15" s="686" t="s">
        <v>27</v>
      </c>
      <c r="H15" s="687">
        <f>IF(G15='Response Guidlines'!$D$81,'Response Guidlines'!$C$81, IF(G15='Response Guidlines'!$D$82,'Response Guidlines'!$C$82,IF(G15='Response Guidlines'!$D$83,'Response Guidlines'!$C$83,IF(G15='Response Guidlines'!$D$84,'Response Guidlines'!$C$84,IF(G15='Response Guidlines'!$D$85,'Response Guidlines'!$C$85,IF(G15='Response Guidlines'!$D$86,'Response Guidlines'!$C$86,IF(G15='Response Guidlines'!$D$87,'Response Guidlines'!$C$87,"No Rating")))))))</f>
        <v>4</v>
      </c>
      <c r="I15" s="688">
        <f>(H15/$H$51)/_xlfn.XLOOKUP('Scoring Summary'!$D$23,'Response Guidlines'!$D$92:$D$191,'Response Guidlines'!$C$92:$C$191,"",0,1)</f>
        <v>7.6923076923076164E-3</v>
      </c>
      <c r="J15" s="295" t="s">
        <v>627</v>
      </c>
      <c r="K15" s="296">
        <f>I15</f>
        <v>7.6923076923076164E-3</v>
      </c>
      <c r="L15" s="689">
        <v>0</v>
      </c>
      <c r="M15" s="690"/>
      <c r="N15" s="118"/>
      <c r="O15" s="113"/>
      <c r="P15" s="113"/>
      <c r="Q15" s="113"/>
      <c r="R15" s="113"/>
    </row>
    <row r="16" spans="1:18" s="13" customFormat="1" ht="30.5" x14ac:dyDescent="0.2">
      <c r="A16" s="680"/>
      <c r="B16" s="682"/>
      <c r="C16" s="683"/>
      <c r="D16" s="682"/>
      <c r="E16" s="684"/>
      <c r="F16" s="685"/>
      <c r="G16" s="686"/>
      <c r="H16" s="687"/>
      <c r="I16" s="688"/>
      <c r="J16" s="295" t="s">
        <v>628</v>
      </c>
      <c r="K16" s="296">
        <f>K15*0.5</f>
        <v>3.8461538461538082E-3</v>
      </c>
      <c r="L16" s="689"/>
      <c r="M16" s="690"/>
      <c r="N16" s="118"/>
      <c r="O16" s="113"/>
      <c r="P16" s="113"/>
      <c r="Q16" s="113"/>
      <c r="R16" s="113"/>
    </row>
    <row r="17" spans="1:18" s="13" customFormat="1" thickBot="1" x14ac:dyDescent="0.25">
      <c r="A17" s="681"/>
      <c r="B17" s="682"/>
      <c r="C17" s="683"/>
      <c r="D17" s="682"/>
      <c r="E17" s="684"/>
      <c r="F17" s="685"/>
      <c r="G17" s="686"/>
      <c r="H17" s="687"/>
      <c r="I17" s="688"/>
      <c r="J17" s="295" t="s">
        <v>623</v>
      </c>
      <c r="K17" s="296">
        <v>0</v>
      </c>
      <c r="L17" s="689"/>
      <c r="M17" s="690"/>
      <c r="N17" s="118"/>
      <c r="O17" s="113"/>
      <c r="P17" s="113"/>
      <c r="Q17" s="113"/>
      <c r="R17" s="113"/>
    </row>
    <row r="18" spans="1:18" s="13" customFormat="1" ht="20.5" x14ac:dyDescent="0.2">
      <c r="A18" s="680" t="s">
        <v>629</v>
      </c>
      <c r="B18" s="682" t="s">
        <v>630</v>
      </c>
      <c r="C18" s="683" t="s">
        <v>631</v>
      </c>
      <c r="D18" s="682"/>
      <c r="E18" s="684"/>
      <c r="F18" s="685"/>
      <c r="G18" s="686" t="s">
        <v>26</v>
      </c>
      <c r="H18" s="687">
        <f>IF(G18='Response Guidlines'!$D$81,'Response Guidlines'!$C$81, IF(G18='Response Guidlines'!$D$82,'Response Guidlines'!$C$82,IF(G18='Response Guidlines'!$D$83,'Response Guidlines'!$C$83,IF(G18='Response Guidlines'!$D$84,'Response Guidlines'!$C$84,IF(G18='Response Guidlines'!$D$85,'Response Guidlines'!$C$85,IF(G18='Response Guidlines'!$D$86,'Response Guidlines'!$C$86,IF(G18='Response Guidlines'!$D$87,'Response Guidlines'!$C$87,"No Rating")))))))</f>
        <v>3</v>
      </c>
      <c r="I18" s="688">
        <f>(H18/$H$51)/_xlfn.XLOOKUP('Scoring Summary'!$D$23,'Response Guidlines'!$D$92:$D$191,'Response Guidlines'!$C$92:$C$191,"",0,1)</f>
        <v>5.7692307692307123E-3</v>
      </c>
      <c r="J18" s="295" t="s">
        <v>632</v>
      </c>
      <c r="K18" s="296">
        <f>I18</f>
        <v>5.7692307692307123E-3</v>
      </c>
      <c r="L18" s="689">
        <v>0</v>
      </c>
      <c r="M18" s="690"/>
      <c r="N18" s="118" t="s">
        <v>633</v>
      </c>
      <c r="O18" s="113"/>
      <c r="P18" s="113"/>
      <c r="Q18" s="113"/>
      <c r="R18" s="113"/>
    </row>
    <row r="19" spans="1:18" s="13" customFormat="1" ht="20.5" x14ac:dyDescent="0.2">
      <c r="A19" s="680"/>
      <c r="B19" s="682"/>
      <c r="C19" s="683"/>
      <c r="D19" s="682"/>
      <c r="E19" s="684"/>
      <c r="F19" s="685"/>
      <c r="G19" s="686"/>
      <c r="H19" s="687"/>
      <c r="I19" s="688"/>
      <c r="J19" s="295" t="s">
        <v>634</v>
      </c>
      <c r="K19" s="296">
        <f>K18*0.5</f>
        <v>2.8846153846153562E-3</v>
      </c>
      <c r="L19" s="689"/>
      <c r="M19" s="690"/>
      <c r="N19" s="118"/>
      <c r="O19" s="113"/>
      <c r="P19" s="113"/>
      <c r="Q19" s="113"/>
      <c r="R19" s="113"/>
    </row>
    <row r="20" spans="1:18" s="13" customFormat="1" thickBot="1" x14ac:dyDescent="0.25">
      <c r="A20" s="681"/>
      <c r="B20" s="682"/>
      <c r="C20" s="683"/>
      <c r="D20" s="682"/>
      <c r="E20" s="684"/>
      <c r="F20" s="685"/>
      <c r="G20" s="686"/>
      <c r="H20" s="687"/>
      <c r="I20" s="688"/>
      <c r="J20" s="295" t="s">
        <v>623</v>
      </c>
      <c r="K20" s="296">
        <v>0</v>
      </c>
      <c r="L20" s="689"/>
      <c r="M20" s="690"/>
      <c r="N20" s="118"/>
      <c r="O20" s="113"/>
      <c r="P20" s="113"/>
      <c r="Q20" s="113"/>
      <c r="R20" s="113"/>
    </row>
    <row r="21" spans="1:18" s="13" customFormat="1" ht="20" x14ac:dyDescent="0.2">
      <c r="A21" s="680" t="s">
        <v>635</v>
      </c>
      <c r="B21" s="682" t="s">
        <v>636</v>
      </c>
      <c r="C21" s="683" t="s">
        <v>637</v>
      </c>
      <c r="D21" s="682"/>
      <c r="E21" s="684"/>
      <c r="F21" s="685"/>
      <c r="G21" s="686" t="s">
        <v>26</v>
      </c>
      <c r="H21" s="687">
        <f>IF(G21='Response Guidlines'!$D$81,'Response Guidlines'!$C$81, IF(G21='Response Guidlines'!$D$82,'Response Guidlines'!$C$82,IF(G21='Response Guidlines'!$D$83,'Response Guidlines'!$C$83,IF(G21='Response Guidlines'!$D$84,'Response Guidlines'!$C$84,IF(G21='Response Guidlines'!$D$85,'Response Guidlines'!$C$85,IF(G21='Response Guidlines'!$D$86,'Response Guidlines'!$C$86,IF(G21='Response Guidlines'!$D$87,'Response Guidlines'!$C$87,"No Rating")))))))</f>
        <v>3</v>
      </c>
      <c r="I21" s="688">
        <f>(H21/$H$51)/_xlfn.XLOOKUP('Scoring Summary'!$D$23,'Response Guidlines'!$D$92:$D$191,'Response Guidlines'!$C$92:$C$191,"",0,1)</f>
        <v>5.7692307692307123E-3</v>
      </c>
      <c r="J21" s="295" t="s">
        <v>638</v>
      </c>
      <c r="K21" s="296">
        <f>I21</f>
        <v>5.7692307692307123E-3</v>
      </c>
      <c r="L21" s="689">
        <v>0</v>
      </c>
      <c r="M21" s="690"/>
      <c r="N21" s="118" t="s">
        <v>639</v>
      </c>
      <c r="O21" s="113"/>
      <c r="P21" s="113"/>
      <c r="Q21" s="113"/>
      <c r="R21" s="113"/>
    </row>
    <row r="22" spans="1:18" s="13" customFormat="1" ht="20" x14ac:dyDescent="0.2">
      <c r="A22" s="680"/>
      <c r="B22" s="682"/>
      <c r="C22" s="683"/>
      <c r="D22" s="682"/>
      <c r="E22" s="684"/>
      <c r="F22" s="685"/>
      <c r="G22" s="686"/>
      <c r="H22" s="687"/>
      <c r="I22" s="688"/>
      <c r="J22" s="295" t="s">
        <v>640</v>
      </c>
      <c r="K22" s="296">
        <f>K21*0.5</f>
        <v>2.8846153846153562E-3</v>
      </c>
      <c r="L22" s="689"/>
      <c r="M22" s="690"/>
      <c r="N22" s="118"/>
      <c r="O22" s="113"/>
      <c r="P22" s="113"/>
      <c r="Q22" s="113"/>
      <c r="R22" s="113"/>
    </row>
    <row r="23" spans="1:18" s="13" customFormat="1" thickBot="1" x14ac:dyDescent="0.25">
      <c r="A23" s="681"/>
      <c r="B23" s="682"/>
      <c r="C23" s="683"/>
      <c r="D23" s="682"/>
      <c r="E23" s="684"/>
      <c r="F23" s="685"/>
      <c r="G23" s="686"/>
      <c r="H23" s="687"/>
      <c r="I23" s="688"/>
      <c r="J23" s="295" t="s">
        <v>623</v>
      </c>
      <c r="K23" s="296">
        <v>0</v>
      </c>
      <c r="L23" s="689"/>
      <c r="M23" s="690"/>
      <c r="N23" s="118"/>
      <c r="O23" s="113"/>
      <c r="P23" s="113"/>
      <c r="Q23" s="113"/>
      <c r="R23" s="113"/>
    </row>
    <row r="24" spans="1:18" s="13" customFormat="1" ht="30.5" x14ac:dyDescent="0.2">
      <c r="A24" s="680" t="s">
        <v>641</v>
      </c>
      <c r="B24" s="682" t="s">
        <v>642</v>
      </c>
      <c r="C24" s="683" t="s">
        <v>643</v>
      </c>
      <c r="D24" s="682"/>
      <c r="E24" s="684"/>
      <c r="F24" s="685"/>
      <c r="G24" s="686" t="s">
        <v>29</v>
      </c>
      <c r="H24" s="687">
        <f>IF(G24='Response Guidlines'!$D$81,'Response Guidlines'!$C$81, IF(G24='Response Guidlines'!$D$82,'Response Guidlines'!$C$82,IF(G24='Response Guidlines'!$D$83,'Response Guidlines'!$C$83,IF(G24='Response Guidlines'!$D$84,'Response Guidlines'!$C$84,IF(G24='Response Guidlines'!$D$85,'Response Guidlines'!$C$85,IF(G24='Response Guidlines'!$D$86,'Response Guidlines'!$C$86,IF(G24='Response Guidlines'!$D$87,'Response Guidlines'!$C$87,"No Rating")))))))</f>
        <v>6</v>
      </c>
      <c r="I24" s="688">
        <f>(H24/$H$51)/_xlfn.XLOOKUP('Scoring Summary'!$D$23,'Response Guidlines'!$D$92:$D$191,'Response Guidlines'!$C$92:$C$191,"",0,1)</f>
        <v>1.1538461538461425E-2</v>
      </c>
      <c r="J24" s="295" t="s">
        <v>644</v>
      </c>
      <c r="K24" s="296">
        <f>I24</f>
        <v>1.1538461538461425E-2</v>
      </c>
      <c r="L24" s="689">
        <v>0</v>
      </c>
      <c r="M24" s="690"/>
      <c r="N24" s="118"/>
      <c r="O24" s="113"/>
      <c r="P24" s="113"/>
      <c r="Q24" s="113"/>
      <c r="R24" s="113"/>
    </row>
    <row r="25" spans="1:18" s="13" customFormat="1" ht="30.5" x14ac:dyDescent="0.2">
      <c r="A25" s="680"/>
      <c r="B25" s="682"/>
      <c r="C25" s="683"/>
      <c r="D25" s="682"/>
      <c r="E25" s="684"/>
      <c r="F25" s="685"/>
      <c r="G25" s="686"/>
      <c r="H25" s="687"/>
      <c r="I25" s="688"/>
      <c r="J25" s="295" t="s">
        <v>645</v>
      </c>
      <c r="K25" s="296">
        <f>K24*0.5</f>
        <v>5.7692307692307123E-3</v>
      </c>
      <c r="L25" s="689"/>
      <c r="M25" s="690"/>
      <c r="N25" s="118" t="s">
        <v>646</v>
      </c>
      <c r="O25" s="113"/>
      <c r="P25" s="113"/>
      <c r="Q25" s="113"/>
      <c r="R25" s="113"/>
    </row>
    <row r="26" spans="1:18" s="13" customFormat="1" thickBot="1" x14ac:dyDescent="0.25">
      <c r="A26" s="681"/>
      <c r="B26" s="682"/>
      <c r="C26" s="683"/>
      <c r="D26" s="682"/>
      <c r="E26" s="684"/>
      <c r="F26" s="685"/>
      <c r="G26" s="686"/>
      <c r="H26" s="687"/>
      <c r="I26" s="688"/>
      <c r="J26" s="295" t="s">
        <v>623</v>
      </c>
      <c r="K26" s="296">
        <v>0</v>
      </c>
      <c r="L26" s="689"/>
      <c r="M26" s="690"/>
      <c r="N26" s="118"/>
      <c r="O26" s="113"/>
      <c r="P26" s="113"/>
      <c r="Q26" s="113"/>
      <c r="R26" s="113"/>
    </row>
    <row r="27" spans="1:18" s="13" customFormat="1" ht="110.5" x14ac:dyDescent="0.2">
      <c r="A27" s="680" t="s">
        <v>647</v>
      </c>
      <c r="B27" s="682" t="s">
        <v>648</v>
      </c>
      <c r="C27" s="683" t="s">
        <v>649</v>
      </c>
      <c r="D27" s="682"/>
      <c r="E27" s="684"/>
      <c r="F27" s="685"/>
      <c r="G27" s="686" t="s">
        <v>27</v>
      </c>
      <c r="H27" s="687">
        <f>IF(G27='Response Guidlines'!$D$81,'Response Guidlines'!$C$81, IF(G27='Response Guidlines'!$D$82,'Response Guidlines'!$C$82,IF(G27='Response Guidlines'!$D$83,'Response Guidlines'!$C$83,IF(G27='Response Guidlines'!$D$84,'Response Guidlines'!$C$84,IF(G27='Response Guidlines'!$D$85,'Response Guidlines'!$C$85,IF(G27='Response Guidlines'!$D$86,'Response Guidlines'!$C$86,IF(G27='Response Guidlines'!$D$87,'Response Guidlines'!$C$87,"No Rating")))))))</f>
        <v>4</v>
      </c>
      <c r="I27" s="688">
        <f>(H27/$H$51)/_xlfn.XLOOKUP('Scoring Summary'!$D$23,'Response Guidlines'!$D$92:$D$191,'Response Guidlines'!$C$92:$C$191,"",0,1)</f>
        <v>7.6923076923076164E-3</v>
      </c>
      <c r="J27" s="295" t="s">
        <v>650</v>
      </c>
      <c r="K27" s="296">
        <f>I27</f>
        <v>7.6923076923076164E-3</v>
      </c>
      <c r="L27" s="689">
        <v>0</v>
      </c>
      <c r="M27" s="690"/>
      <c r="N27" s="118"/>
      <c r="O27" s="113"/>
      <c r="P27" s="113"/>
      <c r="Q27" s="113"/>
      <c r="R27" s="113"/>
    </row>
    <row r="28" spans="1:18" s="13" customFormat="1" ht="111" x14ac:dyDescent="0.2">
      <c r="A28" s="680"/>
      <c r="B28" s="682"/>
      <c r="C28" s="683"/>
      <c r="D28" s="682"/>
      <c r="E28" s="684"/>
      <c r="F28" s="685"/>
      <c r="G28" s="686"/>
      <c r="H28" s="687"/>
      <c r="I28" s="688"/>
      <c r="J28" s="295" t="s">
        <v>651</v>
      </c>
      <c r="K28" s="296">
        <f>K27*0.57</f>
        <v>4.384615384615341E-3</v>
      </c>
      <c r="L28" s="689"/>
      <c r="M28" s="690"/>
      <c r="N28" s="118" t="s">
        <v>646</v>
      </c>
      <c r="O28" s="113"/>
      <c r="P28" s="113"/>
      <c r="Q28" s="113"/>
      <c r="R28" s="113"/>
    </row>
    <row r="29" spans="1:18" s="13" customFormat="1" thickBot="1" x14ac:dyDescent="0.25">
      <c r="A29" s="681"/>
      <c r="B29" s="682"/>
      <c r="C29" s="683"/>
      <c r="D29" s="682"/>
      <c r="E29" s="684"/>
      <c r="F29" s="685"/>
      <c r="G29" s="686"/>
      <c r="H29" s="687"/>
      <c r="I29" s="688"/>
      <c r="J29" s="295" t="s">
        <v>623</v>
      </c>
      <c r="K29" s="296">
        <v>0</v>
      </c>
      <c r="L29" s="689"/>
      <c r="M29" s="690"/>
      <c r="N29" s="118"/>
      <c r="O29" s="113"/>
      <c r="P29" s="113"/>
      <c r="Q29" s="113"/>
      <c r="R29" s="113"/>
    </row>
    <row r="30" spans="1:18" s="13" customFormat="1" ht="100" x14ac:dyDescent="0.2">
      <c r="A30" s="680" t="s">
        <v>652</v>
      </c>
      <c r="B30" s="682" t="s">
        <v>653</v>
      </c>
      <c r="C30" s="683" t="s">
        <v>654</v>
      </c>
      <c r="D30" s="682"/>
      <c r="E30" s="684"/>
      <c r="F30" s="685"/>
      <c r="G30" s="686" t="s">
        <v>27</v>
      </c>
      <c r="H30" s="687">
        <f>IF(G30='Response Guidlines'!$D$81,'Response Guidlines'!$C$81, IF(G30='Response Guidlines'!$D$82,'Response Guidlines'!$C$82,IF(G30='Response Guidlines'!$D$83,'Response Guidlines'!$C$83,IF(G30='Response Guidlines'!$D$84,'Response Guidlines'!$C$84,IF(G30='Response Guidlines'!$D$85,'Response Guidlines'!$C$85,IF(G30='Response Guidlines'!$D$86,'Response Guidlines'!$C$86,IF(G30='Response Guidlines'!$D$87,'Response Guidlines'!$C$87,"No Rating")))))))</f>
        <v>4</v>
      </c>
      <c r="I30" s="688">
        <f>(H30/$H$51)/_xlfn.XLOOKUP('Scoring Summary'!$D$23,'Response Guidlines'!$D$92:$D$191,'Response Guidlines'!$C$92:$C$191,"",0,1)</f>
        <v>7.6923076923076164E-3</v>
      </c>
      <c r="J30" s="295" t="s">
        <v>655</v>
      </c>
      <c r="K30" s="296">
        <f>I30</f>
        <v>7.6923076923076164E-3</v>
      </c>
      <c r="L30" s="689">
        <v>0</v>
      </c>
      <c r="M30" s="690"/>
      <c r="N30" s="118"/>
      <c r="O30" s="113"/>
      <c r="P30" s="113"/>
      <c r="Q30" s="113"/>
      <c r="R30" s="113"/>
    </row>
    <row r="31" spans="1:18" s="13" customFormat="1" ht="30" x14ac:dyDescent="0.2">
      <c r="A31" s="680"/>
      <c r="B31" s="682"/>
      <c r="C31" s="683"/>
      <c r="D31" s="682"/>
      <c r="E31" s="684"/>
      <c r="F31" s="685"/>
      <c r="G31" s="686"/>
      <c r="H31" s="687"/>
      <c r="I31" s="688"/>
      <c r="J31" s="295" t="s">
        <v>656</v>
      </c>
      <c r="K31" s="296">
        <f>K30*0.5</f>
        <v>3.8461538461538082E-3</v>
      </c>
      <c r="L31" s="689"/>
      <c r="M31" s="690"/>
      <c r="N31" s="118" t="s">
        <v>646</v>
      </c>
      <c r="O31" s="113"/>
      <c r="P31" s="113"/>
      <c r="Q31" s="113"/>
      <c r="R31" s="113"/>
    </row>
    <row r="32" spans="1:18" s="13" customFormat="1" thickBot="1" x14ac:dyDescent="0.25">
      <c r="A32" s="681"/>
      <c r="B32" s="682"/>
      <c r="C32" s="683"/>
      <c r="D32" s="682"/>
      <c r="E32" s="684"/>
      <c r="F32" s="685"/>
      <c r="G32" s="686"/>
      <c r="H32" s="687"/>
      <c r="I32" s="688"/>
      <c r="J32" s="295" t="s">
        <v>623</v>
      </c>
      <c r="K32" s="296">
        <v>0</v>
      </c>
      <c r="L32" s="689"/>
      <c r="M32" s="690"/>
      <c r="N32" s="118"/>
      <c r="O32" s="113"/>
      <c r="P32" s="113"/>
      <c r="Q32" s="113"/>
      <c r="R32" s="113"/>
    </row>
    <row r="33" spans="1:18" s="13" customFormat="1" ht="101.5" x14ac:dyDescent="0.2">
      <c r="A33" s="680" t="s">
        <v>657</v>
      </c>
      <c r="B33" s="682" t="s">
        <v>658</v>
      </c>
      <c r="C33" s="683" t="s">
        <v>659</v>
      </c>
      <c r="D33" s="682"/>
      <c r="E33" s="684"/>
      <c r="F33" s="685"/>
      <c r="G33" s="686" t="s">
        <v>28</v>
      </c>
      <c r="H33" s="687">
        <f>IF(G33='Response Guidlines'!$D$81,'Response Guidlines'!$C$81, IF(G33='Response Guidlines'!$D$82,'Response Guidlines'!$C$82,IF(G33='Response Guidlines'!$D$83,'Response Guidlines'!$C$83,IF(G33='Response Guidlines'!$D$84,'Response Guidlines'!$C$84,IF(G33='Response Guidlines'!$D$85,'Response Guidlines'!$C$85,IF(G33='Response Guidlines'!$D$86,'Response Guidlines'!$C$86,IF(G33='Response Guidlines'!$D$87,'Response Guidlines'!$C$87,"No Rating")))))))</f>
        <v>5</v>
      </c>
      <c r="I33" s="688">
        <f>(H33/$H$51)/_xlfn.XLOOKUP('Scoring Summary'!$D$23,'Response Guidlines'!$D$92:$D$191,'Response Guidlines'!$C$92:$C$191,"",0,1)</f>
        <v>9.6153846153845205E-3</v>
      </c>
      <c r="J33" s="295" t="s">
        <v>660</v>
      </c>
      <c r="K33" s="296">
        <f>I33</f>
        <v>9.6153846153845205E-3</v>
      </c>
      <c r="L33" s="689">
        <v>0</v>
      </c>
      <c r="M33" s="690"/>
      <c r="N33" s="118"/>
      <c r="O33" s="113"/>
      <c r="P33" s="113"/>
      <c r="Q33" s="113"/>
      <c r="R33" s="113"/>
    </row>
    <row r="34" spans="1:18" s="13" customFormat="1" ht="101.5" x14ac:dyDescent="0.2">
      <c r="A34" s="680"/>
      <c r="B34" s="682"/>
      <c r="C34" s="683"/>
      <c r="D34" s="682"/>
      <c r="E34" s="684"/>
      <c r="F34" s="685"/>
      <c r="G34" s="686"/>
      <c r="H34" s="687"/>
      <c r="I34" s="688"/>
      <c r="J34" s="295" t="s">
        <v>661</v>
      </c>
      <c r="K34" s="296">
        <f>K33*0.7</f>
        <v>6.7307692307691644E-3</v>
      </c>
      <c r="L34" s="689"/>
      <c r="M34" s="690"/>
      <c r="N34" s="118" t="s">
        <v>646</v>
      </c>
      <c r="O34" s="113"/>
      <c r="P34" s="113"/>
      <c r="Q34" s="113"/>
      <c r="R34" s="113"/>
    </row>
    <row r="35" spans="1:18" s="13" customFormat="1" thickBot="1" x14ac:dyDescent="0.25">
      <c r="A35" s="681"/>
      <c r="B35" s="682"/>
      <c r="C35" s="683"/>
      <c r="D35" s="682"/>
      <c r="E35" s="684"/>
      <c r="F35" s="685"/>
      <c r="G35" s="686"/>
      <c r="H35" s="687"/>
      <c r="I35" s="688"/>
      <c r="J35" s="295" t="s">
        <v>623</v>
      </c>
      <c r="K35" s="296">
        <v>0</v>
      </c>
      <c r="L35" s="689"/>
      <c r="M35" s="690"/>
      <c r="N35" s="118"/>
      <c r="O35" s="113"/>
      <c r="P35" s="113"/>
      <c r="Q35" s="113"/>
      <c r="R35" s="113"/>
    </row>
    <row r="36" spans="1:18" s="13" customFormat="1" ht="40.5" x14ac:dyDescent="0.2">
      <c r="A36" s="680" t="s">
        <v>662</v>
      </c>
      <c r="B36" s="682" t="s">
        <v>663</v>
      </c>
      <c r="C36" s="683" t="s">
        <v>664</v>
      </c>
      <c r="D36" s="682"/>
      <c r="E36" s="684"/>
      <c r="F36" s="685"/>
      <c r="G36" s="686" t="s">
        <v>26</v>
      </c>
      <c r="H36" s="687">
        <f>IF(G36='Response Guidlines'!$D$81,'Response Guidlines'!$C$81, IF(G36='Response Guidlines'!$D$82,'Response Guidlines'!$C$82,IF(G36='Response Guidlines'!$D$83,'Response Guidlines'!$C$83,IF(G36='Response Guidlines'!$D$84,'Response Guidlines'!$C$84,IF(G36='Response Guidlines'!$D$85,'Response Guidlines'!$C$85,IF(G36='Response Guidlines'!$D$86,'Response Guidlines'!$C$86,IF(G36='Response Guidlines'!$D$87,'Response Guidlines'!$C$87,"No Rating")))))))</f>
        <v>3</v>
      </c>
      <c r="I36" s="688">
        <f>(H36/$H$51)/_xlfn.XLOOKUP('Scoring Summary'!$D$23,'Response Guidlines'!$D$92:$D$191,'Response Guidlines'!$C$92:$C$191,"",0,1)</f>
        <v>5.7692307692307123E-3</v>
      </c>
      <c r="J36" s="295" t="s">
        <v>665</v>
      </c>
      <c r="K36" s="296">
        <f>I36</f>
        <v>5.7692307692307123E-3</v>
      </c>
      <c r="L36" s="689">
        <v>0</v>
      </c>
      <c r="M36" s="690"/>
      <c r="N36" s="118"/>
      <c r="O36" s="113"/>
      <c r="P36" s="113"/>
      <c r="Q36" s="113"/>
      <c r="R36" s="113"/>
    </row>
    <row r="37" spans="1:18" s="13" customFormat="1" ht="40.5" x14ac:dyDescent="0.2">
      <c r="A37" s="680"/>
      <c r="B37" s="682"/>
      <c r="C37" s="683"/>
      <c r="D37" s="682"/>
      <c r="E37" s="684"/>
      <c r="F37" s="685"/>
      <c r="G37" s="686"/>
      <c r="H37" s="687"/>
      <c r="I37" s="688"/>
      <c r="J37" s="295" t="s">
        <v>666</v>
      </c>
      <c r="K37" s="296">
        <f>K36*0.7</f>
        <v>4.0384615384614986E-3</v>
      </c>
      <c r="L37" s="689"/>
      <c r="M37" s="690"/>
      <c r="N37" s="118" t="s">
        <v>646</v>
      </c>
      <c r="O37" s="113"/>
      <c r="P37" s="113"/>
      <c r="Q37" s="113"/>
      <c r="R37" s="113"/>
    </row>
    <row r="38" spans="1:18" s="13" customFormat="1" thickBot="1" x14ac:dyDescent="0.25">
      <c r="A38" s="681"/>
      <c r="B38" s="682"/>
      <c r="C38" s="683"/>
      <c r="D38" s="682"/>
      <c r="E38" s="684"/>
      <c r="F38" s="685"/>
      <c r="G38" s="686"/>
      <c r="H38" s="687"/>
      <c r="I38" s="688"/>
      <c r="J38" s="295" t="s">
        <v>623</v>
      </c>
      <c r="K38" s="296">
        <v>0</v>
      </c>
      <c r="L38" s="689"/>
      <c r="M38" s="690"/>
      <c r="N38" s="118"/>
      <c r="O38" s="113"/>
      <c r="P38" s="113"/>
      <c r="Q38" s="113"/>
      <c r="R38" s="113"/>
    </row>
    <row r="39" spans="1:18" s="13" customFormat="1" ht="60.5" x14ac:dyDescent="0.2">
      <c r="A39" s="680" t="s">
        <v>667</v>
      </c>
      <c r="B39" s="682" t="s">
        <v>668</v>
      </c>
      <c r="C39" s="683" t="s">
        <v>669</v>
      </c>
      <c r="D39" s="682"/>
      <c r="E39" s="684"/>
      <c r="F39" s="685"/>
      <c r="G39" s="686" t="s">
        <v>26</v>
      </c>
      <c r="H39" s="687">
        <f>IF(G39='Response Guidlines'!$D$81,'Response Guidlines'!$C$81, IF(G39='Response Guidlines'!$D$82,'Response Guidlines'!$C$82,IF(G39='Response Guidlines'!$D$83,'Response Guidlines'!$C$83,IF(G39='Response Guidlines'!$D$84,'Response Guidlines'!$C$84,IF(G39='Response Guidlines'!$D$85,'Response Guidlines'!$C$85,IF(G39='Response Guidlines'!$D$86,'Response Guidlines'!$C$86,IF(G39='Response Guidlines'!$D$87,'Response Guidlines'!$C$87,"No Rating")))))))</f>
        <v>3</v>
      </c>
      <c r="I39" s="688">
        <f>(H39/$H$51)/_xlfn.XLOOKUP('Scoring Summary'!$D$23,'Response Guidlines'!$D$92:$D$191,'Response Guidlines'!$C$92:$C$191,"",0,1)</f>
        <v>5.7692307692307123E-3</v>
      </c>
      <c r="J39" s="295" t="s">
        <v>670</v>
      </c>
      <c r="K39" s="296">
        <f>I39</f>
        <v>5.7692307692307123E-3</v>
      </c>
      <c r="L39" s="689">
        <v>0</v>
      </c>
      <c r="M39" s="690"/>
      <c r="N39" s="118"/>
      <c r="O39" s="113"/>
      <c r="P39" s="113"/>
      <c r="Q39" s="113"/>
      <c r="R39" s="113"/>
    </row>
    <row r="40" spans="1:18" s="13" customFormat="1" ht="60.5" x14ac:dyDescent="0.2">
      <c r="A40" s="680"/>
      <c r="B40" s="682"/>
      <c r="C40" s="683"/>
      <c r="D40" s="682"/>
      <c r="E40" s="684"/>
      <c r="F40" s="685"/>
      <c r="G40" s="686"/>
      <c r="H40" s="687"/>
      <c r="I40" s="688"/>
      <c r="J40" s="295" t="s">
        <v>671</v>
      </c>
      <c r="K40" s="296">
        <f>K39*0.6</f>
        <v>3.4615384615384274E-3</v>
      </c>
      <c r="L40" s="689"/>
      <c r="M40" s="690"/>
      <c r="N40" s="118" t="s">
        <v>646</v>
      </c>
      <c r="O40" s="113"/>
      <c r="P40" s="113"/>
      <c r="Q40" s="113"/>
      <c r="R40" s="113"/>
    </row>
    <row r="41" spans="1:18" s="13" customFormat="1" thickBot="1" x14ac:dyDescent="0.25">
      <c r="A41" s="681"/>
      <c r="B41" s="682"/>
      <c r="C41" s="683"/>
      <c r="D41" s="682"/>
      <c r="E41" s="684"/>
      <c r="F41" s="685"/>
      <c r="G41" s="686"/>
      <c r="H41" s="687"/>
      <c r="I41" s="688"/>
      <c r="J41" s="295" t="s">
        <v>623</v>
      </c>
      <c r="K41" s="296">
        <v>0</v>
      </c>
      <c r="L41" s="689"/>
      <c r="M41" s="690"/>
      <c r="N41" s="118"/>
      <c r="O41" s="113"/>
      <c r="P41" s="113"/>
      <c r="Q41" s="113"/>
      <c r="R41" s="113"/>
    </row>
    <row r="42" spans="1:18" s="13" customFormat="1" ht="100.5" x14ac:dyDescent="0.2">
      <c r="A42" s="680" t="s">
        <v>672</v>
      </c>
      <c r="B42" s="682" t="s">
        <v>673</v>
      </c>
      <c r="C42" s="683" t="s">
        <v>674</v>
      </c>
      <c r="D42" s="682"/>
      <c r="E42" s="684"/>
      <c r="F42" s="685"/>
      <c r="G42" s="686" t="s">
        <v>26</v>
      </c>
      <c r="H42" s="687">
        <f>IF(G42='Response Guidlines'!$D$81,'Response Guidlines'!$C$81, IF(G42='Response Guidlines'!$D$82,'Response Guidlines'!$C$82,IF(G42='Response Guidlines'!$D$83,'Response Guidlines'!$C$83,IF(G42='Response Guidlines'!$D$84,'Response Guidlines'!$C$84,IF(G42='Response Guidlines'!$D$85,'Response Guidlines'!$C$85,IF(G42='Response Guidlines'!$D$86,'Response Guidlines'!$C$86,IF(G42='Response Guidlines'!$D$87,'Response Guidlines'!$C$87,"No Rating")))))))</f>
        <v>3</v>
      </c>
      <c r="I42" s="688">
        <f>(H42/$H$51)/_xlfn.XLOOKUP('Scoring Summary'!$D$23,'Response Guidlines'!$D$92:$D$191,'Response Guidlines'!$C$92:$C$191,"",0,1)</f>
        <v>5.7692307692307123E-3</v>
      </c>
      <c r="J42" s="295" t="s">
        <v>675</v>
      </c>
      <c r="K42" s="296">
        <f>I42</f>
        <v>5.7692307692307123E-3</v>
      </c>
      <c r="L42" s="689">
        <v>0</v>
      </c>
      <c r="M42" s="690"/>
      <c r="N42" s="118"/>
      <c r="O42" s="113"/>
      <c r="P42" s="113"/>
      <c r="Q42" s="113"/>
      <c r="R42" s="113"/>
    </row>
    <row r="43" spans="1:18" s="13" customFormat="1" ht="100.5" x14ac:dyDescent="0.2">
      <c r="A43" s="680"/>
      <c r="B43" s="682"/>
      <c r="C43" s="683"/>
      <c r="D43" s="682"/>
      <c r="E43" s="684"/>
      <c r="F43" s="685"/>
      <c r="G43" s="686"/>
      <c r="H43" s="687"/>
      <c r="I43" s="688"/>
      <c r="J43" s="295" t="s">
        <v>676</v>
      </c>
      <c r="K43" s="296">
        <f>K42*0.7</f>
        <v>4.0384615384614986E-3</v>
      </c>
      <c r="L43" s="689"/>
      <c r="M43" s="690"/>
      <c r="N43" s="118" t="s">
        <v>646</v>
      </c>
      <c r="O43" s="113"/>
      <c r="P43" s="113"/>
      <c r="Q43" s="113"/>
      <c r="R43" s="113"/>
    </row>
    <row r="44" spans="1:18" s="13" customFormat="1" thickBot="1" x14ac:dyDescent="0.25">
      <c r="A44" s="681"/>
      <c r="B44" s="682"/>
      <c r="C44" s="683"/>
      <c r="D44" s="682"/>
      <c r="E44" s="684"/>
      <c r="F44" s="685"/>
      <c r="G44" s="686"/>
      <c r="H44" s="687"/>
      <c r="I44" s="688"/>
      <c r="J44" s="295" t="s">
        <v>623</v>
      </c>
      <c r="K44" s="296">
        <v>0</v>
      </c>
      <c r="L44" s="689"/>
      <c r="M44" s="690"/>
      <c r="N44" s="118"/>
      <c r="O44" s="113"/>
      <c r="P44" s="113"/>
      <c r="Q44" s="113"/>
      <c r="R44" s="113"/>
    </row>
    <row r="45" spans="1:18" s="13" customFormat="1" ht="80.5" x14ac:dyDescent="0.2">
      <c r="A45" s="680" t="s">
        <v>677</v>
      </c>
      <c r="B45" s="682" t="s">
        <v>678</v>
      </c>
      <c r="C45" s="683" t="s">
        <v>679</v>
      </c>
      <c r="D45" s="682"/>
      <c r="E45" s="684"/>
      <c r="F45" s="685"/>
      <c r="G45" s="686" t="s">
        <v>27</v>
      </c>
      <c r="H45" s="687">
        <f>IF(G45='Response Guidlines'!$D$81,'Response Guidlines'!$C$81, IF(G45='Response Guidlines'!$D$82,'Response Guidlines'!$C$82,IF(G45='Response Guidlines'!$D$83,'Response Guidlines'!$C$83,IF(G45='Response Guidlines'!$D$84,'Response Guidlines'!$C$84,IF(G45='Response Guidlines'!$D$85,'Response Guidlines'!$C$85,IF(G45='Response Guidlines'!$D$86,'Response Guidlines'!$C$86,IF(G45='Response Guidlines'!$D$87,'Response Guidlines'!$C$87,"No Rating")))))))</f>
        <v>4</v>
      </c>
      <c r="I45" s="688">
        <f>(H45/$H$51)/_xlfn.XLOOKUP('Scoring Summary'!$D$23,'Response Guidlines'!$D$92:$D$191,'Response Guidlines'!$C$92:$C$191,"",0,1)</f>
        <v>7.6923076923076164E-3</v>
      </c>
      <c r="J45" s="295" t="s">
        <v>680</v>
      </c>
      <c r="K45" s="296">
        <f>I45</f>
        <v>7.6923076923076164E-3</v>
      </c>
      <c r="L45" s="689">
        <v>0</v>
      </c>
      <c r="M45" s="690"/>
      <c r="N45" s="118" t="s">
        <v>681</v>
      </c>
      <c r="O45" s="113"/>
      <c r="P45" s="113"/>
      <c r="Q45" s="113"/>
      <c r="R45" s="113"/>
    </row>
    <row r="46" spans="1:18" s="13" customFormat="1" ht="70.5" x14ac:dyDescent="0.2">
      <c r="A46" s="680"/>
      <c r="B46" s="682"/>
      <c r="C46" s="683"/>
      <c r="D46" s="682"/>
      <c r="E46" s="684"/>
      <c r="F46" s="685"/>
      <c r="G46" s="686"/>
      <c r="H46" s="687"/>
      <c r="I46" s="688"/>
      <c r="J46" s="295" t="s">
        <v>682</v>
      </c>
      <c r="K46" s="296">
        <f>K45*0.7</f>
        <v>5.3846153846153315E-3</v>
      </c>
      <c r="L46" s="689"/>
      <c r="M46" s="690"/>
      <c r="N46" s="118"/>
      <c r="O46" s="113"/>
      <c r="P46" s="113"/>
      <c r="Q46" s="113"/>
      <c r="R46" s="113"/>
    </row>
    <row r="47" spans="1:18" s="13" customFormat="1" thickBot="1" x14ac:dyDescent="0.25">
      <c r="A47" s="681"/>
      <c r="B47" s="682"/>
      <c r="C47" s="683"/>
      <c r="D47" s="682"/>
      <c r="E47" s="684"/>
      <c r="F47" s="685"/>
      <c r="G47" s="686"/>
      <c r="H47" s="687"/>
      <c r="I47" s="688"/>
      <c r="J47" s="295" t="s">
        <v>623</v>
      </c>
      <c r="K47" s="296">
        <v>0</v>
      </c>
      <c r="L47" s="689"/>
      <c r="M47" s="690"/>
      <c r="N47" s="118"/>
      <c r="O47" s="113"/>
      <c r="P47" s="113"/>
      <c r="Q47" s="113"/>
      <c r="R47" s="113"/>
    </row>
    <row r="48" spans="1:18" s="13" customFormat="1" ht="30" x14ac:dyDescent="0.2">
      <c r="A48" s="680" t="s">
        <v>683</v>
      </c>
      <c r="B48" s="682" t="s">
        <v>684</v>
      </c>
      <c r="C48" s="683" t="s">
        <v>685</v>
      </c>
      <c r="D48" s="682"/>
      <c r="E48" s="684"/>
      <c r="F48" s="685"/>
      <c r="G48" s="686" t="s">
        <v>27</v>
      </c>
      <c r="H48" s="687">
        <f>IF(G48='Response Guidlines'!$D$81,'Response Guidlines'!$C$81, IF(G48='Response Guidlines'!$D$82,'Response Guidlines'!$C$82,IF(G48='Response Guidlines'!$D$83,'Response Guidlines'!$C$83,IF(G48='Response Guidlines'!$D$84,'Response Guidlines'!$C$84,IF(G48='Response Guidlines'!$D$85,'Response Guidlines'!$C$85,IF(G48='Response Guidlines'!$D$86,'Response Guidlines'!$C$86,IF(G48='Response Guidlines'!$D$87,'Response Guidlines'!$C$87,"No Rating")))))))</f>
        <v>4</v>
      </c>
      <c r="I48" s="688">
        <f>(H48/$H$51)/_xlfn.XLOOKUP('Scoring Summary'!$D$23,'Response Guidlines'!$D$92:$D$191,'Response Guidlines'!$C$92:$C$191,"",0,1)</f>
        <v>7.6923076923076164E-3</v>
      </c>
      <c r="J48" s="295" t="s">
        <v>686</v>
      </c>
      <c r="K48" s="296">
        <f>I48</f>
        <v>7.6923076923076164E-3</v>
      </c>
      <c r="L48" s="689">
        <v>0</v>
      </c>
      <c r="M48" s="690"/>
      <c r="N48" s="118"/>
      <c r="O48" s="113"/>
      <c r="P48" s="113"/>
      <c r="Q48" s="113"/>
      <c r="R48" s="113"/>
    </row>
    <row r="49" spans="1:18" s="13" customFormat="1" ht="70" x14ac:dyDescent="0.2">
      <c r="A49" s="680"/>
      <c r="B49" s="682"/>
      <c r="C49" s="683"/>
      <c r="D49" s="682"/>
      <c r="E49" s="684"/>
      <c r="F49" s="685"/>
      <c r="G49" s="686"/>
      <c r="H49" s="687"/>
      <c r="I49" s="688"/>
      <c r="J49" s="295" t="s">
        <v>687</v>
      </c>
      <c r="K49" s="296">
        <f>K48*0.5</f>
        <v>3.8461538461538082E-3</v>
      </c>
      <c r="L49" s="689"/>
      <c r="M49" s="690"/>
      <c r="N49" s="118" t="s">
        <v>688</v>
      </c>
      <c r="O49" s="113"/>
      <c r="P49" s="113"/>
      <c r="Q49" s="113"/>
      <c r="R49" s="113"/>
    </row>
    <row r="50" spans="1:18" s="13" customFormat="1" thickBot="1" x14ac:dyDescent="0.25">
      <c r="A50" s="681"/>
      <c r="B50" s="700"/>
      <c r="C50" s="701"/>
      <c r="D50" s="700"/>
      <c r="E50" s="702"/>
      <c r="F50" s="703"/>
      <c r="G50" s="704"/>
      <c r="H50" s="705"/>
      <c r="I50" s="706"/>
      <c r="J50" s="299" t="s">
        <v>623</v>
      </c>
      <c r="K50" s="300">
        <v>0</v>
      </c>
      <c r="L50" s="707"/>
      <c r="M50" s="708"/>
      <c r="N50" s="118"/>
      <c r="O50" s="113"/>
      <c r="P50" s="113"/>
      <c r="Q50" s="113"/>
      <c r="R50" s="113"/>
    </row>
    <row r="51" spans="1:18" s="259" customFormat="1" ht="15.75" customHeight="1" thickBot="1" x14ac:dyDescent="0.4">
      <c r="A51" s="144"/>
      <c r="B51" s="206" t="s">
        <v>138</v>
      </c>
      <c r="C51" s="206"/>
      <c r="D51" s="206"/>
      <c r="E51" s="206"/>
      <c r="F51" s="206"/>
      <c r="G51" s="206"/>
      <c r="H51" s="252">
        <f>SUM(H12:H50)</f>
        <v>52</v>
      </c>
      <c r="I51" s="253">
        <f>SUM(I12:I50)</f>
        <v>9.9999999999999006E-2</v>
      </c>
      <c r="J51" s="461" t="s">
        <v>139</v>
      </c>
      <c r="K51" s="462"/>
      <c r="L51" s="253">
        <f>SUM(L12)</f>
        <v>0</v>
      </c>
      <c r="M51" s="309"/>
      <c r="N51" s="308"/>
      <c r="O51" s="135"/>
      <c r="P51" s="135"/>
      <c r="Q51" s="135"/>
      <c r="R51" s="135"/>
    </row>
  </sheetData>
  <mergeCells count="150">
    <mergeCell ref="D8:F9"/>
    <mergeCell ref="J9:M9"/>
    <mergeCell ref="A39:A41"/>
    <mergeCell ref="L45:L47"/>
    <mergeCell ref="M45:M47"/>
    <mergeCell ref="A48:A50"/>
    <mergeCell ref="B48:B50"/>
    <mergeCell ref="C48:C50"/>
    <mergeCell ref="D48:D50"/>
    <mergeCell ref="E48:E50"/>
    <mergeCell ref="F48:F50"/>
    <mergeCell ref="G48:G50"/>
    <mergeCell ref="H48:H50"/>
    <mergeCell ref="I48:I50"/>
    <mergeCell ref="L48:L50"/>
    <mergeCell ref="M48:M50"/>
    <mergeCell ref="A45:A47"/>
    <mergeCell ref="B45:B47"/>
    <mergeCell ref="C45:C47"/>
    <mergeCell ref="D45:D47"/>
    <mergeCell ref="E45:E47"/>
    <mergeCell ref="F45:F47"/>
    <mergeCell ref="G45:G47"/>
    <mergeCell ref="H45:H47"/>
    <mergeCell ref="I45:I47"/>
    <mergeCell ref="B39:B41"/>
    <mergeCell ref="C39:C41"/>
    <mergeCell ref="D39:D41"/>
    <mergeCell ref="E39:E41"/>
    <mergeCell ref="F39:F41"/>
    <mergeCell ref="G39:G41"/>
    <mergeCell ref="H39:H41"/>
    <mergeCell ref="I39:I41"/>
    <mergeCell ref="C42:C44"/>
    <mergeCell ref="D42:D44"/>
    <mergeCell ref="E42:E44"/>
    <mergeCell ref="F42:F44"/>
    <mergeCell ref="G42:G44"/>
    <mergeCell ref="H42:H44"/>
    <mergeCell ref="I42:I44"/>
    <mergeCell ref="L42:L44"/>
    <mergeCell ref="M42:M44"/>
    <mergeCell ref="G27:G29"/>
    <mergeCell ref="H27:H29"/>
    <mergeCell ref="I27:I29"/>
    <mergeCell ref="L27:L29"/>
    <mergeCell ref="M27:M29"/>
    <mergeCell ref="F24:F26"/>
    <mergeCell ref="G24:G26"/>
    <mergeCell ref="M36:M38"/>
    <mergeCell ref="L39:L41"/>
    <mergeCell ref="M39:M41"/>
    <mergeCell ref="L36:L38"/>
    <mergeCell ref="H24:H26"/>
    <mergeCell ref="I24:I26"/>
    <mergeCell ref="L24:L26"/>
    <mergeCell ref="M24:M26"/>
    <mergeCell ref="L30:L32"/>
    <mergeCell ref="M30:M32"/>
    <mergeCell ref="F36:F38"/>
    <mergeCell ref="G36:G38"/>
    <mergeCell ref="H36:H38"/>
    <mergeCell ref="I36:I38"/>
    <mergeCell ref="H18:H20"/>
    <mergeCell ref="I18:I20"/>
    <mergeCell ref="L18:L20"/>
    <mergeCell ref="M18:M20"/>
    <mergeCell ref="L21:L23"/>
    <mergeCell ref="M21:M23"/>
    <mergeCell ref="H12:H14"/>
    <mergeCell ref="I12:I14"/>
    <mergeCell ref="L12:L14"/>
    <mergeCell ref="C15:C17"/>
    <mergeCell ref="D15:D17"/>
    <mergeCell ref="E15:E17"/>
    <mergeCell ref="F15:F17"/>
    <mergeCell ref="G15:G17"/>
    <mergeCell ref="H15:H17"/>
    <mergeCell ref="I15:I17"/>
    <mergeCell ref="L15:L17"/>
    <mergeCell ref="M12:M14"/>
    <mergeCell ref="M15:M17"/>
    <mergeCell ref="F21:F23"/>
    <mergeCell ref="G21:G23"/>
    <mergeCell ref="H21:H23"/>
    <mergeCell ref="I21:I23"/>
    <mergeCell ref="E2:G4"/>
    <mergeCell ref="A10:A11"/>
    <mergeCell ref="B10:C10"/>
    <mergeCell ref="D10:F10"/>
    <mergeCell ref="A12:A14"/>
    <mergeCell ref="A15:A17"/>
    <mergeCell ref="A18:A20"/>
    <mergeCell ref="E18:E20"/>
    <mergeCell ref="F18:F20"/>
    <mergeCell ref="G18:G20"/>
    <mergeCell ref="B18:B20"/>
    <mergeCell ref="C18:C20"/>
    <mergeCell ref="D18:D20"/>
    <mergeCell ref="B12:B14"/>
    <mergeCell ref="C12:C14"/>
    <mergeCell ref="D12:D14"/>
    <mergeCell ref="E12:E14"/>
    <mergeCell ref="F12:F14"/>
    <mergeCell ref="G12:G14"/>
    <mergeCell ref="B15:B17"/>
    <mergeCell ref="A27:A29"/>
    <mergeCell ref="B27:B29"/>
    <mergeCell ref="C27:C29"/>
    <mergeCell ref="D27:D29"/>
    <mergeCell ref="E27:E29"/>
    <mergeCell ref="A21:A23"/>
    <mergeCell ref="B21:B23"/>
    <mergeCell ref="C21:C23"/>
    <mergeCell ref="D21:D23"/>
    <mergeCell ref="E21:E23"/>
    <mergeCell ref="D36:D38"/>
    <mergeCell ref="E36:E38"/>
    <mergeCell ref="A33:A35"/>
    <mergeCell ref="B33:B35"/>
    <mergeCell ref="C33:C35"/>
    <mergeCell ref="D33:D35"/>
    <mergeCell ref="E33:E35"/>
    <mergeCell ref="L33:L35"/>
    <mergeCell ref="M33:M35"/>
    <mergeCell ref="B36:B38"/>
    <mergeCell ref="A42:A44"/>
    <mergeCell ref="B42:B44"/>
    <mergeCell ref="A24:A26"/>
    <mergeCell ref="B24:B26"/>
    <mergeCell ref="C24:C26"/>
    <mergeCell ref="D24:D26"/>
    <mergeCell ref="E24:E26"/>
    <mergeCell ref="F27:F29"/>
    <mergeCell ref="J51:K51"/>
    <mergeCell ref="A30:A32"/>
    <mergeCell ref="B30:B32"/>
    <mergeCell ref="C30:C32"/>
    <mergeCell ref="D30:D32"/>
    <mergeCell ref="E30:E32"/>
    <mergeCell ref="F30:F32"/>
    <mergeCell ref="G30:G32"/>
    <mergeCell ref="H30:H32"/>
    <mergeCell ref="I30:I32"/>
    <mergeCell ref="F33:F35"/>
    <mergeCell ref="G33:G35"/>
    <mergeCell ref="H33:H35"/>
    <mergeCell ref="I33:I35"/>
    <mergeCell ref="A36:A38"/>
    <mergeCell ref="C36:C38"/>
  </mergeCells>
  <dataValidations count="4">
    <dataValidation type="list" allowBlank="1" showInputMessage="1" showErrorMessage="1" sqref="D12 D15 D18 D21 D27 D24 D30 D33 D36 D39 D42 D45 D48" xr:uid="{48BCDAC3-B3B3-4FAD-9643-BDB5C2E07E16}">
      <formula1>J12:J14</formula1>
    </dataValidation>
    <dataValidation type="list" allowBlank="1" showInputMessage="1" showErrorMessage="1" sqref="D28:D29" xr:uid="{0903D231-FB7B-4F94-9067-AD31B38C4C59}">
      <formula1>J28:J69</formula1>
    </dataValidation>
    <dataValidation type="list" allowBlank="1" showInputMessage="1" showErrorMessage="1" sqref="L12:L50" xr:uid="{7342CAF1-082A-4CAE-82D9-FC70120E91DF}">
      <formula1>K12:K14</formula1>
    </dataValidation>
    <dataValidation type="list" allowBlank="1" showInputMessage="1" showErrorMessage="1" sqref="D13:D14 D25:D26 D43:D44 D37:D38 D31:D32 D22:D23 D19:D20 D16:D17 D34:D35 D40:D41 D46:D47 D49:D50" xr:uid="{67CC55C2-5900-4556-87C1-849869A66F41}">
      <formula1>J13:J57</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A751CDEB-49CC-4429-9D77-A317B3052C87}">
          <x14:formula1>
            <xm:f>'Response Guidlines'!$D$81:$D$87</xm:f>
          </x14:formula1>
          <xm:sqref>G12:G50</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F2F56-C637-452D-A438-B1FA63BFE9F3}">
  <sheetPr>
    <tabColor rgb="FF22A2A8"/>
    <pageSetUpPr fitToPage="1"/>
  </sheetPr>
  <dimension ref="A1:N89"/>
  <sheetViews>
    <sheetView topLeftCell="C1" zoomScaleNormal="100" workbookViewId="0">
      <selection activeCell="D52" sqref="D52:D55"/>
    </sheetView>
  </sheetViews>
  <sheetFormatPr defaultColWidth="9.26953125" defaultRowHeight="10.5" x14ac:dyDescent="0.25"/>
  <cols>
    <col min="1" max="1" width="3.26953125" style="19" bestFit="1" customWidth="1"/>
    <col min="2" max="2" width="11.453125" style="19" customWidth="1"/>
    <col min="3" max="3" width="46.26953125" style="18" customWidth="1"/>
    <col min="4" max="4" width="35.26953125" style="18" customWidth="1"/>
    <col min="5" max="5" width="23.7265625" style="18" customWidth="1"/>
    <col min="6" max="6" width="22.7265625" style="18" customWidth="1"/>
    <col min="7" max="7" width="30.54296875" style="18" customWidth="1"/>
    <col min="8" max="8" width="11.26953125" style="18" bestFit="1" customWidth="1"/>
    <col min="9" max="9" width="7.54296875" style="18" customWidth="1"/>
    <col min="10" max="10" width="7.26953125" style="17" customWidth="1"/>
    <col min="11" max="11" width="32.453125" style="16" customWidth="1"/>
    <col min="12" max="12" width="5.26953125" style="15" customWidth="1"/>
    <col min="13" max="13" width="5.453125" style="13" customWidth="1"/>
    <col min="14" max="14" width="39.54296875" style="14" customWidth="1"/>
    <col min="15" max="16384" width="9.26953125" style="13"/>
  </cols>
  <sheetData>
    <row r="1" spans="1:14" x14ac:dyDescent="0.25">
      <c r="C1" s="76"/>
      <c r="D1" s="76"/>
      <c r="E1" s="76"/>
      <c r="F1" s="76"/>
      <c r="G1" s="76"/>
      <c r="H1" s="76"/>
      <c r="I1" s="76"/>
    </row>
    <row r="2" spans="1:14" ht="15.5" x14ac:dyDescent="0.35">
      <c r="C2" s="11" t="s">
        <v>51</v>
      </c>
      <c r="D2" s="12" t="str">
        <f>'Scoring Summary'!C2</f>
        <v>&lt;insert before tender publication&gt;</v>
      </c>
      <c r="E2" s="46"/>
      <c r="F2" s="390" t="s">
        <v>689</v>
      </c>
      <c r="G2" s="390"/>
      <c r="H2" s="390"/>
      <c r="I2" s="46"/>
      <c r="J2" s="46"/>
      <c r="K2" s="46"/>
      <c r="L2" s="46"/>
      <c r="M2" s="46"/>
      <c r="N2" s="46"/>
    </row>
    <row r="3" spans="1:14" ht="28" x14ac:dyDescent="0.35">
      <c r="C3" s="11" t="s">
        <v>54</v>
      </c>
      <c r="D3" s="116" t="str">
        <f>'Scoring Summary'!C3</f>
        <v>IT00641 Dx Commercial Energy Trader (Dx CET)</v>
      </c>
      <c r="E3" s="46"/>
      <c r="F3" s="390"/>
      <c r="G3" s="390"/>
      <c r="H3" s="390"/>
      <c r="I3" s="46"/>
      <c r="J3" s="46"/>
      <c r="K3" s="46"/>
      <c r="L3" s="46"/>
      <c r="M3" s="46"/>
      <c r="N3" s="46"/>
    </row>
    <row r="4" spans="1:14" ht="15.5" x14ac:dyDescent="0.35">
      <c r="C4" s="11" t="s">
        <v>55</v>
      </c>
      <c r="D4" s="346">
        <f>'Scoring Summary'!C4</f>
        <v>0.7</v>
      </c>
      <c r="E4" s="46"/>
      <c r="F4" s="390"/>
      <c r="G4" s="390"/>
      <c r="H4" s="390"/>
      <c r="I4" s="46"/>
      <c r="J4" s="46"/>
      <c r="K4" s="46"/>
      <c r="L4" s="46"/>
      <c r="M4" s="46"/>
      <c r="N4" s="46"/>
    </row>
    <row r="5" spans="1:14" ht="15.5" x14ac:dyDescent="0.35">
      <c r="C5" s="11" t="s">
        <v>84</v>
      </c>
      <c r="D5" s="10" t="str">
        <f>'Scoring Summary'!C5</f>
        <v>&lt;Evaluator to complete&gt;</v>
      </c>
      <c r="E5" s="46"/>
      <c r="F5" s="75"/>
      <c r="G5" s="75"/>
      <c r="H5" s="75"/>
      <c r="I5" s="46"/>
      <c r="J5" s="46"/>
      <c r="K5" s="46"/>
      <c r="L5" s="46"/>
      <c r="M5" s="46"/>
      <c r="N5" s="46"/>
    </row>
    <row r="6" spans="1:14" ht="15.5" x14ac:dyDescent="0.35">
      <c r="C6" s="11" t="s">
        <v>58</v>
      </c>
      <c r="D6" s="10" t="str">
        <f>'Scoring Summary'!C6</f>
        <v>&lt;Evaluator to complete&gt;</v>
      </c>
      <c r="E6" s="46"/>
      <c r="F6" s="46"/>
      <c r="G6" s="46"/>
      <c r="H6" s="46"/>
      <c r="I6" s="46"/>
      <c r="J6" s="46"/>
      <c r="K6" s="46"/>
      <c r="L6" s="46"/>
      <c r="M6" s="46"/>
      <c r="N6" s="46"/>
    </row>
    <row r="7" spans="1:14" ht="15.5" x14ac:dyDescent="0.35">
      <c r="C7" s="11" t="s">
        <v>59</v>
      </c>
      <c r="D7" s="10" t="str">
        <f>'Scoring Summary'!C7</f>
        <v>&lt;Evaluator to complete&gt;</v>
      </c>
      <c r="E7" s="46"/>
      <c r="F7" s="46"/>
      <c r="G7" s="46"/>
      <c r="H7" s="46"/>
      <c r="I7" s="46"/>
      <c r="J7" s="46"/>
      <c r="K7" s="46"/>
      <c r="L7" s="46"/>
      <c r="M7" s="46"/>
      <c r="N7" s="46"/>
    </row>
    <row r="8" spans="1:14" ht="15.75" customHeight="1" x14ac:dyDescent="0.3">
      <c r="C8" s="11" t="s">
        <v>60</v>
      </c>
      <c r="D8" s="10"/>
      <c r="E8" s="466" t="s">
        <v>1277</v>
      </c>
      <c r="F8" s="467"/>
      <c r="G8" s="468"/>
      <c r="H8" s="318"/>
      <c r="I8" s="318"/>
      <c r="J8" s="318"/>
      <c r="K8" s="318"/>
      <c r="L8" s="318"/>
      <c r="M8" s="318"/>
      <c r="N8" s="318"/>
    </row>
    <row r="9" spans="1:14" ht="16.5" customHeight="1" thickBot="1" x14ac:dyDescent="0.35">
      <c r="C9" s="30"/>
      <c r="D9" s="30"/>
      <c r="E9" s="737"/>
      <c r="F9" s="738"/>
      <c r="G9" s="739"/>
      <c r="H9" s="319"/>
      <c r="I9" s="319"/>
      <c r="J9" s="320"/>
      <c r="K9" s="472" t="s">
        <v>1276</v>
      </c>
      <c r="L9" s="472"/>
      <c r="M9" s="472"/>
      <c r="N9" s="472"/>
    </row>
    <row r="10" spans="1:14" ht="15" customHeight="1" x14ac:dyDescent="0.2">
      <c r="A10" s="447" t="s">
        <v>85</v>
      </c>
      <c r="B10" s="449" t="s">
        <v>86</v>
      </c>
      <c r="C10" s="730"/>
      <c r="D10" s="450"/>
      <c r="E10" s="451" t="s">
        <v>87</v>
      </c>
      <c r="F10" s="452"/>
      <c r="G10" s="453"/>
      <c r="H10" s="230"/>
      <c r="I10" s="231"/>
      <c r="J10" s="342" t="s">
        <v>88</v>
      </c>
      <c r="K10" s="342"/>
      <c r="L10" s="342"/>
      <c r="M10" s="342"/>
      <c r="N10" s="343"/>
    </row>
    <row r="11" spans="1:14" s="49" customFormat="1" ht="42" customHeight="1" thickBot="1" x14ac:dyDescent="0.4">
      <c r="A11" s="729"/>
      <c r="B11" s="149" t="s">
        <v>168</v>
      </c>
      <c r="C11" s="70" t="s">
        <v>89</v>
      </c>
      <c r="D11" s="147" t="s">
        <v>62</v>
      </c>
      <c r="E11" s="228" t="s">
        <v>90</v>
      </c>
      <c r="F11" s="229" t="s">
        <v>64</v>
      </c>
      <c r="G11" s="66" t="s">
        <v>91</v>
      </c>
      <c r="H11" s="150" t="s">
        <v>92</v>
      </c>
      <c r="I11" s="64" t="s">
        <v>93</v>
      </c>
      <c r="J11" s="63" t="s">
        <v>94</v>
      </c>
      <c r="K11" s="62" t="s">
        <v>95</v>
      </c>
      <c r="L11" s="61" t="s">
        <v>96</v>
      </c>
      <c r="M11" s="60" t="s">
        <v>67</v>
      </c>
      <c r="N11" s="59" t="s">
        <v>68</v>
      </c>
    </row>
    <row r="12" spans="1:14" s="137" customFormat="1" x14ac:dyDescent="0.35">
      <c r="A12" s="717" t="s">
        <v>690</v>
      </c>
      <c r="B12" s="731" t="s">
        <v>691</v>
      </c>
      <c r="C12" s="732" t="s">
        <v>1302</v>
      </c>
      <c r="D12" s="733" t="s">
        <v>693</v>
      </c>
      <c r="E12" s="734"/>
      <c r="F12" s="736" t="s">
        <v>173</v>
      </c>
      <c r="G12" s="723"/>
      <c r="H12" s="724" t="s">
        <v>27</v>
      </c>
      <c r="I12" s="725">
        <f>IF(H12='Response Guidlines'!$D$81,'Response Guidlines'!$C$81, IF(H12='Response Guidlines'!$D$82,'Response Guidlines'!$C$82,IF(H12='Response Guidlines'!$D$83,'Response Guidlines'!$C$83,IF(H12='Response Guidlines'!$D$84,'Response Guidlines'!$C$84,IF(H12='Response Guidlines'!$D$85,'Response Guidlines'!$C$85,IF(H12='Response Guidlines'!$D$86,'Response Guidlines'!$C$86,IF(H12='Response Guidlines'!$D$87,'Response Guidlines'!$C$87,"No Rating")))))))</f>
        <v>4</v>
      </c>
      <c r="J12" s="726">
        <f>(I12/$I$89)/_xlfn.XLOOKUP('Scoring Summary'!$D$24,'Response Guidlines'!$D$92:$D$191,'Response Guidlines'!$C$92:$C$191,"",0,1)</f>
        <v>3.6697247706421656E-3</v>
      </c>
      <c r="K12" s="340" t="s">
        <v>694</v>
      </c>
      <c r="L12" s="341">
        <f>J12</f>
        <v>3.6697247706421656E-3</v>
      </c>
      <c r="M12" s="727">
        <v>0</v>
      </c>
      <c r="N12" s="728"/>
    </row>
    <row r="13" spans="1:14" s="137" customFormat="1" ht="102.75" customHeight="1" x14ac:dyDescent="0.35">
      <c r="A13" s="717"/>
      <c r="B13" s="718"/>
      <c r="C13" s="719"/>
      <c r="D13" s="683"/>
      <c r="E13" s="735"/>
      <c r="F13" s="684"/>
      <c r="G13" s="685"/>
      <c r="H13" s="686"/>
      <c r="I13" s="687"/>
      <c r="J13" s="688"/>
      <c r="K13" s="295" t="s">
        <v>695</v>
      </c>
      <c r="L13" s="301">
        <v>0</v>
      </c>
      <c r="M13" s="715"/>
      <c r="N13" s="716"/>
    </row>
    <row r="14" spans="1:14" s="135" customFormat="1" x14ac:dyDescent="0.35">
      <c r="A14" s="717" t="s">
        <v>696</v>
      </c>
      <c r="B14" s="718" t="s">
        <v>697</v>
      </c>
      <c r="C14" s="719" t="s">
        <v>698</v>
      </c>
      <c r="D14" s="720" t="s">
        <v>699</v>
      </c>
      <c r="E14" s="721"/>
      <c r="F14" s="684"/>
      <c r="G14" s="685"/>
      <c r="H14" s="686" t="s">
        <v>27</v>
      </c>
      <c r="I14" s="687">
        <f>IF(H14='Response Guidlines'!$D$81,'Response Guidlines'!$C$81, IF(H14='Response Guidlines'!$D$82,'Response Guidlines'!$C$82,IF(H14='Response Guidlines'!$D$83,'Response Guidlines'!$C$83,IF(H14='Response Guidlines'!$D$84,'Response Guidlines'!$C$84,IF(H14='Response Guidlines'!$D$85,'Response Guidlines'!$C$85,IF(H14='Response Guidlines'!$D$86,'Response Guidlines'!$C$86,IF(H14='Response Guidlines'!$D$87,'Response Guidlines'!$C$87,"No Rating")))))))</f>
        <v>4</v>
      </c>
      <c r="J14" s="688">
        <f>(I14/$I$89)/_xlfn.XLOOKUP('Scoring Summary'!$D$24,'Response Guidlines'!$D$92:$D$191,'Response Guidlines'!$C$92:$C$191,"",0,1)</f>
        <v>3.6697247706421656E-3</v>
      </c>
      <c r="K14" s="295" t="s">
        <v>700</v>
      </c>
      <c r="L14" s="301">
        <f t="shared" ref="L14" si="0">J14</f>
        <v>3.6697247706421656E-3</v>
      </c>
      <c r="M14" s="715">
        <v>0</v>
      </c>
      <c r="N14" s="716"/>
    </row>
    <row r="15" spans="1:14" s="135" customFormat="1" ht="72.75" customHeight="1" x14ac:dyDescent="0.35">
      <c r="A15" s="717"/>
      <c r="B15" s="718"/>
      <c r="C15" s="719"/>
      <c r="D15" s="720"/>
      <c r="E15" s="721"/>
      <c r="F15" s="684"/>
      <c r="G15" s="685"/>
      <c r="H15" s="686"/>
      <c r="I15" s="687"/>
      <c r="J15" s="688"/>
      <c r="K15" s="295" t="s">
        <v>702</v>
      </c>
      <c r="L15" s="301">
        <v>0</v>
      </c>
      <c r="M15" s="715"/>
      <c r="N15" s="716"/>
    </row>
    <row r="16" spans="1:14" s="135" customFormat="1" ht="50.5" x14ac:dyDescent="0.2">
      <c r="A16" s="717" t="s">
        <v>703</v>
      </c>
      <c r="B16" s="718" t="s">
        <v>704</v>
      </c>
      <c r="C16" s="719" t="s">
        <v>705</v>
      </c>
      <c r="D16" s="720" t="s">
        <v>706</v>
      </c>
      <c r="E16" s="740"/>
      <c r="F16" s="719"/>
      <c r="G16" s="722"/>
      <c r="H16" s="686" t="s">
        <v>26</v>
      </c>
      <c r="I16" s="687">
        <f>IF(H16='Response Guidlines'!$D$81,'Response Guidlines'!$C$81, IF(H16='Response Guidlines'!$D$82,'Response Guidlines'!$C$82,IF(H16='Response Guidlines'!$D$83,'Response Guidlines'!$C$83,IF(H16='Response Guidlines'!$D$84,'Response Guidlines'!$C$84,IF(H16='Response Guidlines'!$D$85,'Response Guidlines'!$C$85,IF(H16='Response Guidlines'!$D$86,'Response Guidlines'!$C$86,IF(H16='Response Guidlines'!$D$87,'Response Guidlines'!$C$87,"No Rating")))))))</f>
        <v>3</v>
      </c>
      <c r="J16" s="688">
        <f>(I16/$I$89)/_xlfn.XLOOKUP('Scoring Summary'!$D$24,'Response Guidlines'!$D$92:$D$191,'Response Guidlines'!$C$92:$C$191,"",0,1)</f>
        <v>2.7522935779816242E-3</v>
      </c>
      <c r="K16" s="302" t="s">
        <v>707</v>
      </c>
      <c r="L16" s="301">
        <f t="shared" ref="L16" si="1">J16</f>
        <v>2.7522935779816242E-3</v>
      </c>
      <c r="M16" s="715">
        <v>0</v>
      </c>
      <c r="N16" s="716"/>
    </row>
    <row r="17" spans="1:14" s="135" customFormat="1" ht="50.5" x14ac:dyDescent="0.35">
      <c r="A17" s="717"/>
      <c r="B17" s="718"/>
      <c r="C17" s="719"/>
      <c r="D17" s="720"/>
      <c r="E17" s="682"/>
      <c r="F17" s="719"/>
      <c r="G17" s="722"/>
      <c r="H17" s="686"/>
      <c r="I17" s="687"/>
      <c r="J17" s="688"/>
      <c r="K17" s="295" t="s">
        <v>708</v>
      </c>
      <c r="L17" s="301">
        <f>L16*0.5</f>
        <v>1.3761467889908121E-3</v>
      </c>
      <c r="M17" s="715"/>
      <c r="N17" s="716"/>
    </row>
    <row r="18" spans="1:14" s="135" customFormat="1" ht="51.75" customHeight="1" x14ac:dyDescent="0.35">
      <c r="A18" s="717"/>
      <c r="B18" s="718"/>
      <c r="C18" s="719"/>
      <c r="D18" s="720"/>
      <c r="E18" s="682"/>
      <c r="F18" s="719"/>
      <c r="G18" s="722"/>
      <c r="H18" s="686"/>
      <c r="I18" s="687"/>
      <c r="J18" s="688"/>
      <c r="K18" s="295" t="s">
        <v>709</v>
      </c>
      <c r="L18" s="301">
        <v>0</v>
      </c>
      <c r="M18" s="715"/>
      <c r="N18" s="716"/>
    </row>
    <row r="19" spans="1:14" s="135" customFormat="1" ht="30" x14ac:dyDescent="0.35">
      <c r="A19" s="717" t="s">
        <v>710</v>
      </c>
      <c r="B19" s="718" t="s">
        <v>704</v>
      </c>
      <c r="C19" s="719" t="s">
        <v>711</v>
      </c>
      <c r="D19" s="683" t="s">
        <v>712</v>
      </c>
      <c r="E19" s="682"/>
      <c r="F19" s="719"/>
      <c r="G19" s="722"/>
      <c r="H19" s="686" t="s">
        <v>27</v>
      </c>
      <c r="I19" s="687">
        <f>IF(H19='Response Guidlines'!$D$81,'Response Guidlines'!$C$81, IF(H19='Response Guidlines'!$D$82,'Response Guidlines'!$C$82,IF(H19='Response Guidlines'!$D$83,'Response Guidlines'!$C$83,IF(H19='Response Guidlines'!$D$84,'Response Guidlines'!$C$84,IF(H19='Response Guidlines'!$D$85,'Response Guidlines'!$C$85,IF(H19='Response Guidlines'!$D$86,'Response Guidlines'!$C$86,IF(H19='Response Guidlines'!$D$87,'Response Guidlines'!$C$87,"No Rating")))))))</f>
        <v>4</v>
      </c>
      <c r="J19" s="688">
        <f>(I19/$I$89)/_xlfn.XLOOKUP('Scoring Summary'!$D$24,'Response Guidlines'!$D$92:$D$191,'Response Guidlines'!$C$92:$C$191,"",0,1)</f>
        <v>3.6697247706421656E-3</v>
      </c>
      <c r="K19" s="295" t="s">
        <v>713</v>
      </c>
      <c r="L19" s="301">
        <f t="shared" ref="L19" si="2">J19</f>
        <v>3.6697247706421656E-3</v>
      </c>
      <c r="M19" s="715">
        <v>0</v>
      </c>
      <c r="N19" s="716"/>
    </row>
    <row r="20" spans="1:14" s="135" customFormat="1" ht="95.25" customHeight="1" x14ac:dyDescent="0.35">
      <c r="A20" s="717"/>
      <c r="B20" s="718"/>
      <c r="C20" s="719"/>
      <c r="D20" s="683"/>
      <c r="E20" s="682"/>
      <c r="F20" s="719"/>
      <c r="G20" s="722"/>
      <c r="H20" s="686"/>
      <c r="I20" s="687"/>
      <c r="J20" s="688"/>
      <c r="K20" s="295" t="s">
        <v>714</v>
      </c>
      <c r="L20" s="301">
        <v>0</v>
      </c>
      <c r="M20" s="715"/>
      <c r="N20" s="716"/>
    </row>
    <row r="21" spans="1:14" s="135" customFormat="1" ht="78.75" customHeight="1" x14ac:dyDescent="0.35">
      <c r="A21" s="717" t="s">
        <v>715</v>
      </c>
      <c r="B21" s="718" t="s">
        <v>704</v>
      </c>
      <c r="C21" s="719" t="s">
        <v>716</v>
      </c>
      <c r="D21" s="741" t="s">
        <v>717</v>
      </c>
      <c r="E21" s="682"/>
      <c r="F21" s="719"/>
      <c r="G21" s="722"/>
      <c r="H21" s="686" t="s">
        <v>27</v>
      </c>
      <c r="I21" s="687">
        <f>IF(H21='Response Guidlines'!$D$81,'Response Guidlines'!$C$81, IF(H21='Response Guidlines'!$D$82,'Response Guidlines'!$C$82,IF(H21='Response Guidlines'!$D$83,'Response Guidlines'!$C$83,IF(H21='Response Guidlines'!$D$84,'Response Guidlines'!$C$84,IF(H21='Response Guidlines'!$D$85,'Response Guidlines'!$C$85,IF(H21='Response Guidlines'!$D$86,'Response Guidlines'!$C$86,IF(H21='Response Guidlines'!$D$87,'Response Guidlines'!$C$87,"No Rating")))))))</f>
        <v>4</v>
      </c>
      <c r="J21" s="688">
        <f>(I21/$I$89)/_xlfn.XLOOKUP('Scoring Summary'!$D$24,'Response Guidlines'!$D$92:$D$191,'Response Guidlines'!$C$92:$C$191,"",0,1)</f>
        <v>3.6697247706421656E-3</v>
      </c>
      <c r="K21" s="303" t="s">
        <v>718</v>
      </c>
      <c r="L21" s="301">
        <f t="shared" ref="L21" si="3">J21</f>
        <v>3.6697247706421656E-3</v>
      </c>
      <c r="M21" s="715">
        <v>0</v>
      </c>
      <c r="N21" s="716"/>
    </row>
    <row r="22" spans="1:14" s="135" customFormat="1" ht="80.25" customHeight="1" x14ac:dyDescent="0.35">
      <c r="A22" s="717"/>
      <c r="B22" s="718"/>
      <c r="C22" s="719"/>
      <c r="D22" s="683"/>
      <c r="E22" s="682"/>
      <c r="F22" s="719"/>
      <c r="G22" s="722"/>
      <c r="H22" s="686"/>
      <c r="I22" s="687"/>
      <c r="J22" s="688"/>
      <c r="K22" s="303" t="s">
        <v>719</v>
      </c>
      <c r="L22" s="301">
        <f>L21*0.5</f>
        <v>1.8348623853210828E-3</v>
      </c>
      <c r="M22" s="715"/>
      <c r="N22" s="716"/>
    </row>
    <row r="23" spans="1:14" s="135" customFormat="1" ht="42" customHeight="1" x14ac:dyDescent="0.35">
      <c r="A23" s="717"/>
      <c r="B23" s="718"/>
      <c r="C23" s="719"/>
      <c r="D23" s="683"/>
      <c r="E23" s="682"/>
      <c r="F23" s="719"/>
      <c r="G23" s="722"/>
      <c r="H23" s="686"/>
      <c r="I23" s="687"/>
      <c r="J23" s="688"/>
      <c r="K23" s="303" t="s">
        <v>720</v>
      </c>
      <c r="L23" s="301">
        <v>0</v>
      </c>
      <c r="M23" s="715"/>
      <c r="N23" s="716"/>
    </row>
    <row r="24" spans="1:14" s="135" customFormat="1" ht="40" x14ac:dyDescent="0.2">
      <c r="A24" s="717" t="s">
        <v>721</v>
      </c>
      <c r="B24" s="718" t="s">
        <v>722</v>
      </c>
      <c r="C24" s="719" t="s">
        <v>728</v>
      </c>
      <c r="D24" s="741" t="s">
        <v>729</v>
      </c>
      <c r="E24" s="682"/>
      <c r="F24" s="719"/>
      <c r="G24" s="722"/>
      <c r="H24" s="686" t="s">
        <v>27</v>
      </c>
      <c r="I24" s="687">
        <f>IF(H24='Response Guidlines'!$D$81,'Response Guidlines'!$C$81, IF(H24='Response Guidlines'!$D$82,'Response Guidlines'!$C$82,IF(H24='Response Guidlines'!$D$83,'Response Guidlines'!$C$83,IF(H24='Response Guidlines'!$D$84,'Response Guidlines'!$C$84,IF(H24='Response Guidlines'!$D$85,'Response Guidlines'!$C$85,IF(H24='Response Guidlines'!$D$86,'Response Guidlines'!$C$86,IF(H24='Response Guidlines'!$D$87,'Response Guidlines'!$C$87,"No Rating")))))))</f>
        <v>4</v>
      </c>
      <c r="J24" s="688">
        <f>(I24/$I$89)/_xlfn.XLOOKUP('Scoring Summary'!$D$24,'Response Guidlines'!$D$92:$D$191,'Response Guidlines'!$C$92:$C$191,"",0,1)</f>
        <v>3.6697247706421656E-3</v>
      </c>
      <c r="K24" s="302" t="s">
        <v>730</v>
      </c>
      <c r="L24" s="301">
        <f t="shared" ref="L24" si="4">J24</f>
        <v>3.6697247706421656E-3</v>
      </c>
      <c r="M24" s="715">
        <v>0</v>
      </c>
      <c r="N24" s="716"/>
    </row>
    <row r="25" spans="1:14" s="135" customFormat="1" ht="117" customHeight="1" x14ac:dyDescent="0.35">
      <c r="A25" s="717"/>
      <c r="B25" s="718"/>
      <c r="C25" s="719"/>
      <c r="D25" s="683"/>
      <c r="E25" s="682"/>
      <c r="F25" s="719"/>
      <c r="G25" s="722"/>
      <c r="H25" s="686"/>
      <c r="I25" s="687"/>
      <c r="J25" s="688"/>
      <c r="K25" s="295" t="s">
        <v>731</v>
      </c>
      <c r="L25" s="301">
        <v>0</v>
      </c>
      <c r="M25" s="715"/>
      <c r="N25" s="716"/>
    </row>
    <row r="26" spans="1:14" s="135" customFormat="1" ht="30" x14ac:dyDescent="0.35">
      <c r="A26" s="717" t="s">
        <v>727</v>
      </c>
      <c r="B26" s="718" t="s">
        <v>733</v>
      </c>
      <c r="C26" s="719" t="s">
        <v>734</v>
      </c>
      <c r="D26" s="741" t="s">
        <v>735</v>
      </c>
      <c r="E26" s="682"/>
      <c r="F26" s="719"/>
      <c r="G26" s="722"/>
      <c r="H26" s="686" t="s">
        <v>29</v>
      </c>
      <c r="I26" s="687">
        <f>IF(H26='Response Guidlines'!$D$81,'Response Guidlines'!$C$81, IF(H26='Response Guidlines'!$D$82,'Response Guidlines'!$C$82,IF(H26='Response Guidlines'!$D$83,'Response Guidlines'!$C$83,IF(H26='Response Guidlines'!$D$84,'Response Guidlines'!$C$84,IF(H26='Response Guidlines'!$D$85,'Response Guidlines'!$C$85,IF(H26='Response Guidlines'!$D$86,'Response Guidlines'!$C$86,IF(H26='Response Guidlines'!$D$87,'Response Guidlines'!$C$87,"No Rating")))))))</f>
        <v>6</v>
      </c>
      <c r="J26" s="688">
        <f>(I26/$I$89)/_xlfn.XLOOKUP('Scoring Summary'!$D$24,'Response Guidlines'!$D$92:$D$191,'Response Guidlines'!$C$92:$C$191,"",0,1)</f>
        <v>5.5045871559632484E-3</v>
      </c>
      <c r="K26" s="303" t="s">
        <v>736</v>
      </c>
      <c r="L26" s="301">
        <f t="shared" ref="L26" si="5">J26</f>
        <v>5.5045871559632484E-3</v>
      </c>
      <c r="M26" s="715">
        <v>0</v>
      </c>
      <c r="N26" s="716"/>
    </row>
    <row r="27" spans="1:14" s="135" customFormat="1" ht="137.25" customHeight="1" x14ac:dyDescent="0.35">
      <c r="A27" s="717"/>
      <c r="B27" s="718"/>
      <c r="C27" s="719"/>
      <c r="D27" s="683"/>
      <c r="E27" s="682"/>
      <c r="F27" s="719"/>
      <c r="G27" s="722"/>
      <c r="H27" s="686"/>
      <c r="I27" s="687"/>
      <c r="J27" s="688"/>
      <c r="K27" s="303" t="s">
        <v>737</v>
      </c>
      <c r="L27" s="301">
        <v>0</v>
      </c>
      <c r="M27" s="715"/>
      <c r="N27" s="716"/>
    </row>
    <row r="28" spans="1:14" s="135" customFormat="1" ht="30" x14ac:dyDescent="0.35">
      <c r="A28" s="717" t="s">
        <v>732</v>
      </c>
      <c r="B28" s="718" t="s">
        <v>733</v>
      </c>
      <c r="C28" s="719" t="s">
        <v>739</v>
      </c>
      <c r="D28" s="741" t="s">
        <v>740</v>
      </c>
      <c r="E28" s="682"/>
      <c r="F28" s="719"/>
      <c r="G28" s="722"/>
      <c r="H28" s="686" t="s">
        <v>27</v>
      </c>
      <c r="I28" s="687">
        <f>IF(H28='Response Guidlines'!$D$81,'Response Guidlines'!$C$81, IF(H28='Response Guidlines'!$D$82,'Response Guidlines'!$C$82,IF(H28='Response Guidlines'!$D$83,'Response Guidlines'!$C$83,IF(H28='Response Guidlines'!$D$84,'Response Guidlines'!$C$84,IF(H28='Response Guidlines'!$D$85,'Response Guidlines'!$C$85,IF(H28='Response Guidlines'!$D$86,'Response Guidlines'!$C$86,IF(H28='Response Guidlines'!$D$87,'Response Guidlines'!$C$87,"No Rating")))))))</f>
        <v>4</v>
      </c>
      <c r="J28" s="688">
        <f>(I28/$I$89)/_xlfn.XLOOKUP('Scoring Summary'!$D$24,'Response Guidlines'!$D$92:$D$191,'Response Guidlines'!$C$92:$C$191,"",0,1)</f>
        <v>3.6697247706421656E-3</v>
      </c>
      <c r="K28" s="303" t="s">
        <v>741</v>
      </c>
      <c r="L28" s="301">
        <f t="shared" ref="L28" si="6">J28</f>
        <v>3.6697247706421656E-3</v>
      </c>
      <c r="M28" s="715">
        <v>0</v>
      </c>
      <c r="N28" s="716"/>
    </row>
    <row r="29" spans="1:14" s="135" customFormat="1" ht="65.25" customHeight="1" x14ac:dyDescent="0.35">
      <c r="A29" s="717"/>
      <c r="B29" s="718"/>
      <c r="C29" s="719"/>
      <c r="D29" s="683"/>
      <c r="E29" s="682"/>
      <c r="F29" s="719"/>
      <c r="G29" s="722"/>
      <c r="H29" s="686"/>
      <c r="I29" s="687"/>
      <c r="J29" s="688"/>
      <c r="K29" s="295" t="s">
        <v>742</v>
      </c>
      <c r="L29" s="301">
        <v>0</v>
      </c>
      <c r="M29" s="715"/>
      <c r="N29" s="716"/>
    </row>
    <row r="30" spans="1:14" s="135" customFormat="1" ht="30" x14ac:dyDescent="0.2">
      <c r="A30" s="717" t="s">
        <v>738</v>
      </c>
      <c r="B30" s="718" t="s">
        <v>744</v>
      </c>
      <c r="C30" s="719" t="s">
        <v>745</v>
      </c>
      <c r="D30" s="741" t="s">
        <v>746</v>
      </c>
      <c r="E30" s="682"/>
      <c r="F30" s="719"/>
      <c r="G30" s="722"/>
      <c r="H30" s="686" t="s">
        <v>27</v>
      </c>
      <c r="I30" s="687">
        <f>IF(H30='Response Guidlines'!$D$81,'Response Guidlines'!$C$81, IF(H30='Response Guidlines'!$D$82,'Response Guidlines'!$C$82,IF(H30='Response Guidlines'!$D$83,'Response Guidlines'!$C$83,IF(H30='Response Guidlines'!$D$84,'Response Guidlines'!$C$84,IF(H30='Response Guidlines'!$D$85,'Response Guidlines'!$C$85,IF(H30='Response Guidlines'!$D$86,'Response Guidlines'!$C$86,IF(H30='Response Guidlines'!$D$87,'Response Guidlines'!$C$87,"No Rating")))))))</f>
        <v>4</v>
      </c>
      <c r="J30" s="688">
        <f>(I30/$I$89)/_xlfn.XLOOKUP('Scoring Summary'!$D$24,'Response Guidlines'!$D$92:$D$191,'Response Guidlines'!$C$92:$C$191,"",0,1)</f>
        <v>3.6697247706421656E-3</v>
      </c>
      <c r="K30" s="302" t="s">
        <v>747</v>
      </c>
      <c r="L30" s="301">
        <f t="shared" ref="L30" si="7">J30</f>
        <v>3.6697247706421656E-3</v>
      </c>
      <c r="M30" s="715">
        <v>0</v>
      </c>
      <c r="N30" s="716"/>
    </row>
    <row r="31" spans="1:14" s="135" customFormat="1" ht="20" x14ac:dyDescent="0.35">
      <c r="A31" s="717"/>
      <c r="B31" s="718"/>
      <c r="C31" s="719"/>
      <c r="D31" s="683"/>
      <c r="E31" s="682"/>
      <c r="F31" s="719"/>
      <c r="G31" s="722"/>
      <c r="H31" s="686"/>
      <c r="I31" s="687"/>
      <c r="J31" s="688"/>
      <c r="K31" s="295" t="s">
        <v>748</v>
      </c>
      <c r="L31" s="301">
        <f>L30*0.5</f>
        <v>1.8348623853210828E-3</v>
      </c>
      <c r="M31" s="715"/>
      <c r="N31" s="716"/>
    </row>
    <row r="32" spans="1:14" s="135" customFormat="1" ht="149.25" customHeight="1" x14ac:dyDescent="0.35">
      <c r="A32" s="717"/>
      <c r="B32" s="718"/>
      <c r="C32" s="719"/>
      <c r="D32" s="683"/>
      <c r="E32" s="682"/>
      <c r="F32" s="719"/>
      <c r="G32" s="722"/>
      <c r="H32" s="686"/>
      <c r="I32" s="687"/>
      <c r="J32" s="688"/>
      <c r="K32" s="295" t="s">
        <v>749</v>
      </c>
      <c r="L32" s="301">
        <v>0</v>
      </c>
      <c r="M32" s="715"/>
      <c r="N32" s="716"/>
    </row>
    <row r="33" spans="1:14" s="135" customFormat="1" ht="30" x14ac:dyDescent="0.35">
      <c r="A33" s="717" t="s">
        <v>902</v>
      </c>
      <c r="B33" s="718" t="s">
        <v>744</v>
      </c>
      <c r="C33" s="719" t="s">
        <v>751</v>
      </c>
      <c r="D33" s="741" t="s">
        <v>752</v>
      </c>
      <c r="E33" s="682"/>
      <c r="F33" s="719"/>
      <c r="G33" s="722"/>
      <c r="H33" s="686" t="s">
        <v>27</v>
      </c>
      <c r="I33" s="687">
        <f>IF(H33='Response Guidlines'!$D$81,'Response Guidlines'!$C$81, IF(H33='Response Guidlines'!$D$82,'Response Guidlines'!$C$82,IF(H33='Response Guidlines'!$D$83,'Response Guidlines'!$C$83,IF(H33='Response Guidlines'!$D$84,'Response Guidlines'!$C$84,IF(H33='Response Guidlines'!$D$85,'Response Guidlines'!$C$85,IF(H33='Response Guidlines'!$D$86,'Response Guidlines'!$C$86,IF(H33='Response Guidlines'!$D$87,'Response Guidlines'!$C$87,"No Rating")))))))</f>
        <v>4</v>
      </c>
      <c r="J33" s="688">
        <f>(I33/$I$89)/_xlfn.XLOOKUP('Scoring Summary'!$D$24,'Response Guidlines'!$D$92:$D$191,'Response Guidlines'!$C$92:$C$191,"",0,1)</f>
        <v>3.6697247706421656E-3</v>
      </c>
      <c r="K33" s="295" t="s">
        <v>753</v>
      </c>
      <c r="L33" s="301">
        <f t="shared" ref="L33" si="8">J33</f>
        <v>3.6697247706421656E-3</v>
      </c>
      <c r="M33" s="715">
        <v>0</v>
      </c>
      <c r="N33" s="716"/>
    </row>
    <row r="34" spans="1:14" s="135" customFormat="1" ht="60.5" x14ac:dyDescent="0.35">
      <c r="A34" s="717"/>
      <c r="B34" s="718"/>
      <c r="C34" s="719"/>
      <c r="D34" s="683"/>
      <c r="E34" s="682"/>
      <c r="F34" s="719"/>
      <c r="G34" s="722"/>
      <c r="H34" s="686"/>
      <c r="I34" s="687"/>
      <c r="J34" s="688"/>
      <c r="K34" s="295" t="s">
        <v>754</v>
      </c>
      <c r="L34" s="301">
        <f>L33*0.5</f>
        <v>1.8348623853210828E-3</v>
      </c>
      <c r="M34" s="715"/>
      <c r="N34" s="716"/>
    </row>
    <row r="35" spans="1:14" s="135" customFormat="1" ht="84.75" customHeight="1" x14ac:dyDescent="0.35">
      <c r="A35" s="717"/>
      <c r="B35" s="718"/>
      <c r="C35" s="719"/>
      <c r="D35" s="683"/>
      <c r="E35" s="682"/>
      <c r="F35" s="719"/>
      <c r="G35" s="722"/>
      <c r="H35" s="686"/>
      <c r="I35" s="687"/>
      <c r="J35" s="688"/>
      <c r="K35" s="295" t="s">
        <v>755</v>
      </c>
      <c r="L35" s="301">
        <v>0</v>
      </c>
      <c r="M35" s="715"/>
      <c r="N35" s="716"/>
    </row>
    <row r="36" spans="1:14" s="135" customFormat="1" ht="60" x14ac:dyDescent="0.2">
      <c r="A36" s="717" t="s">
        <v>743</v>
      </c>
      <c r="B36" s="718" t="s">
        <v>744</v>
      </c>
      <c r="C36" s="719" t="s">
        <v>757</v>
      </c>
      <c r="D36" s="741" t="s">
        <v>758</v>
      </c>
      <c r="E36" s="682"/>
      <c r="F36" s="719"/>
      <c r="G36" s="722"/>
      <c r="H36" s="686" t="s">
        <v>27</v>
      </c>
      <c r="I36" s="687">
        <f>IF(H36='Response Guidlines'!$D$81,'Response Guidlines'!$C$81, IF(H36='Response Guidlines'!$D$82,'Response Guidlines'!$C$82,IF(H36='Response Guidlines'!$D$83,'Response Guidlines'!$C$83,IF(H36='Response Guidlines'!$D$84,'Response Guidlines'!$C$84,IF(H36='Response Guidlines'!$D$85,'Response Guidlines'!$C$85,IF(H36='Response Guidlines'!$D$86,'Response Guidlines'!$C$86,IF(H36='Response Guidlines'!$D$87,'Response Guidlines'!$C$87,"No Rating")))))))</f>
        <v>4</v>
      </c>
      <c r="J36" s="688">
        <f>(I36/$I$89)/_xlfn.XLOOKUP('Scoring Summary'!$D$24,'Response Guidlines'!$D$92:$D$191,'Response Guidlines'!$C$92:$C$191,"",0,1)</f>
        <v>3.6697247706421656E-3</v>
      </c>
      <c r="K36" s="302" t="s">
        <v>759</v>
      </c>
      <c r="L36" s="301">
        <f t="shared" ref="L36" si="9">J36</f>
        <v>3.6697247706421656E-3</v>
      </c>
      <c r="M36" s="715">
        <v>0</v>
      </c>
      <c r="N36" s="716"/>
    </row>
    <row r="37" spans="1:14" s="135" customFormat="1" ht="60" x14ac:dyDescent="0.2">
      <c r="A37" s="717"/>
      <c r="B37" s="718"/>
      <c r="C37" s="719"/>
      <c r="D37" s="683"/>
      <c r="E37" s="682"/>
      <c r="F37" s="719"/>
      <c r="G37" s="722"/>
      <c r="H37" s="686"/>
      <c r="I37" s="687"/>
      <c r="J37" s="688"/>
      <c r="K37" s="302" t="s">
        <v>760</v>
      </c>
      <c r="L37" s="301">
        <f t="shared" ref="L37" si="10">L36*0.75</f>
        <v>2.7522935779816242E-3</v>
      </c>
      <c r="M37" s="715"/>
      <c r="N37" s="716"/>
    </row>
    <row r="38" spans="1:14" s="135" customFormat="1" ht="50" x14ac:dyDescent="0.2">
      <c r="A38" s="717"/>
      <c r="B38" s="718"/>
      <c r="C38" s="719"/>
      <c r="D38" s="683"/>
      <c r="E38" s="682"/>
      <c r="F38" s="719"/>
      <c r="G38" s="722"/>
      <c r="H38" s="686"/>
      <c r="I38" s="687"/>
      <c r="J38" s="688"/>
      <c r="K38" s="302" t="s">
        <v>761</v>
      </c>
      <c r="L38" s="301">
        <f t="shared" ref="L38" si="11">L36*0.5</f>
        <v>1.8348623853210828E-3</v>
      </c>
      <c r="M38" s="715"/>
      <c r="N38" s="716"/>
    </row>
    <row r="39" spans="1:14" s="135" customFormat="1" ht="38.25" customHeight="1" x14ac:dyDescent="0.35">
      <c r="A39" s="717"/>
      <c r="B39" s="718"/>
      <c r="C39" s="719"/>
      <c r="D39" s="683"/>
      <c r="E39" s="682"/>
      <c r="F39" s="719"/>
      <c r="G39" s="722"/>
      <c r="H39" s="686"/>
      <c r="I39" s="687"/>
      <c r="J39" s="688"/>
      <c r="K39" s="295" t="s">
        <v>762</v>
      </c>
      <c r="L39" s="301">
        <v>0</v>
      </c>
      <c r="M39" s="715"/>
      <c r="N39" s="716"/>
    </row>
    <row r="40" spans="1:14" s="135" customFormat="1" ht="30" x14ac:dyDescent="0.2">
      <c r="A40" s="717" t="s">
        <v>750</v>
      </c>
      <c r="B40" s="718" t="s">
        <v>771</v>
      </c>
      <c r="C40" s="719" t="s">
        <v>776</v>
      </c>
      <c r="D40" s="741" t="s">
        <v>777</v>
      </c>
      <c r="E40" s="682"/>
      <c r="F40" s="719"/>
      <c r="G40" s="722"/>
      <c r="H40" s="686" t="s">
        <v>27</v>
      </c>
      <c r="I40" s="687">
        <v>4</v>
      </c>
      <c r="J40" s="688">
        <f>(I40/$I$89)/_xlfn.XLOOKUP('Scoring Summary'!$D$24,'Response Guidlines'!$D$92:$D$191,'Response Guidlines'!$C$92:$C$191,"",0,1)</f>
        <v>3.6697247706421656E-3</v>
      </c>
      <c r="K40" s="302" t="s">
        <v>778</v>
      </c>
      <c r="L40" s="301">
        <f t="shared" ref="L40" si="12">J40</f>
        <v>3.6697247706421656E-3</v>
      </c>
      <c r="M40" s="715">
        <v>0</v>
      </c>
      <c r="N40" s="690"/>
    </row>
    <row r="41" spans="1:14" s="135" customFormat="1" ht="20" x14ac:dyDescent="0.35">
      <c r="A41" s="717"/>
      <c r="B41" s="718"/>
      <c r="C41" s="719"/>
      <c r="D41" s="683"/>
      <c r="E41" s="682"/>
      <c r="F41" s="719"/>
      <c r="G41" s="722"/>
      <c r="H41" s="686"/>
      <c r="I41" s="687"/>
      <c r="J41" s="688"/>
      <c r="K41" s="295" t="s">
        <v>780</v>
      </c>
      <c r="L41" s="301">
        <f>L40*0.5</f>
        <v>1.8348623853210828E-3</v>
      </c>
      <c r="M41" s="715"/>
      <c r="N41" s="690"/>
    </row>
    <row r="42" spans="1:14" s="135" customFormat="1" ht="106.5" customHeight="1" x14ac:dyDescent="0.35">
      <c r="A42" s="717"/>
      <c r="B42" s="718"/>
      <c r="C42" s="719"/>
      <c r="D42" s="683"/>
      <c r="E42" s="682"/>
      <c r="F42" s="719"/>
      <c r="G42" s="722"/>
      <c r="H42" s="686"/>
      <c r="I42" s="687"/>
      <c r="J42" s="688"/>
      <c r="K42" s="295" t="s">
        <v>781</v>
      </c>
      <c r="L42" s="301">
        <v>0</v>
      </c>
      <c r="M42" s="715"/>
      <c r="N42" s="690"/>
    </row>
    <row r="43" spans="1:14" ht="39" customHeight="1" x14ac:dyDescent="0.2">
      <c r="A43" s="717" t="s">
        <v>756</v>
      </c>
      <c r="B43" s="718" t="s">
        <v>771</v>
      </c>
      <c r="C43" s="719" t="s">
        <v>783</v>
      </c>
      <c r="D43" s="741" t="s">
        <v>784</v>
      </c>
      <c r="E43" s="682"/>
      <c r="F43" s="709"/>
      <c r="G43" s="712"/>
      <c r="H43" s="686" t="s">
        <v>27</v>
      </c>
      <c r="I43" s="687">
        <v>4</v>
      </c>
      <c r="J43" s="688">
        <f>(I43/$I$89)/_xlfn.XLOOKUP('Scoring Summary'!$D$24,'Response Guidlines'!$D$92:$D$191,'Response Guidlines'!$C$92:$C$191,"",0,1)</f>
        <v>3.6697247706421656E-3</v>
      </c>
      <c r="K43" s="295" t="s">
        <v>785</v>
      </c>
      <c r="L43" s="301">
        <f t="shared" ref="L43" si="13">J43</f>
        <v>3.6697247706421656E-3</v>
      </c>
      <c r="M43" s="715">
        <v>0</v>
      </c>
      <c r="N43" s="690"/>
    </row>
    <row r="44" spans="1:14" ht="20" x14ac:dyDescent="0.2">
      <c r="A44" s="717"/>
      <c r="B44" s="718"/>
      <c r="C44" s="719"/>
      <c r="D44" s="741"/>
      <c r="E44" s="682"/>
      <c r="F44" s="710"/>
      <c r="G44" s="713"/>
      <c r="H44" s="686"/>
      <c r="I44" s="687"/>
      <c r="J44" s="688"/>
      <c r="K44" s="295" t="s">
        <v>786</v>
      </c>
      <c r="L44" s="301">
        <f>L43*0.5</f>
        <v>1.8348623853210828E-3</v>
      </c>
      <c r="M44" s="715"/>
      <c r="N44" s="690"/>
    </row>
    <row r="45" spans="1:14" ht="38.25" customHeight="1" x14ac:dyDescent="0.2">
      <c r="A45" s="717"/>
      <c r="B45" s="718"/>
      <c r="C45" s="719"/>
      <c r="D45" s="741"/>
      <c r="E45" s="682"/>
      <c r="F45" s="711"/>
      <c r="G45" s="714"/>
      <c r="H45" s="686"/>
      <c r="I45" s="687"/>
      <c r="J45" s="688"/>
      <c r="K45" s="295" t="s">
        <v>788</v>
      </c>
      <c r="L45" s="301">
        <v>0</v>
      </c>
      <c r="M45" s="715"/>
      <c r="N45" s="690"/>
    </row>
    <row r="46" spans="1:14" ht="20.5" x14ac:dyDescent="0.2">
      <c r="A46" s="717" t="s">
        <v>763</v>
      </c>
      <c r="B46" s="718" t="s">
        <v>771</v>
      </c>
      <c r="C46" s="719" t="s">
        <v>791</v>
      </c>
      <c r="D46" s="741" t="s">
        <v>792</v>
      </c>
      <c r="E46" s="682"/>
      <c r="F46" s="709"/>
      <c r="G46" s="712"/>
      <c r="H46" s="686" t="s">
        <v>27</v>
      </c>
      <c r="I46" s="687">
        <v>4</v>
      </c>
      <c r="J46" s="688">
        <f>(I46/$I$89)/_xlfn.XLOOKUP('Scoring Summary'!$D$24,'Response Guidlines'!$D$92:$D$191,'Response Guidlines'!$C$92:$C$191,"",0,1)</f>
        <v>3.6697247706421656E-3</v>
      </c>
      <c r="K46" s="295" t="s">
        <v>793</v>
      </c>
      <c r="L46" s="301">
        <f t="shared" ref="L46" si="14">J46</f>
        <v>3.6697247706421656E-3</v>
      </c>
      <c r="M46" s="715">
        <v>0</v>
      </c>
      <c r="N46" s="690"/>
    </row>
    <row r="47" spans="1:14" ht="20" x14ac:dyDescent="0.2">
      <c r="A47" s="717"/>
      <c r="B47" s="718"/>
      <c r="C47" s="719"/>
      <c r="D47" s="683"/>
      <c r="E47" s="682"/>
      <c r="F47" s="710"/>
      <c r="G47" s="713"/>
      <c r="H47" s="686"/>
      <c r="I47" s="687"/>
      <c r="J47" s="688"/>
      <c r="K47" s="295" t="s">
        <v>795</v>
      </c>
      <c r="L47" s="301">
        <f>L46*0.5</f>
        <v>1.8348623853210828E-3</v>
      </c>
      <c r="M47" s="715"/>
      <c r="N47" s="690"/>
    </row>
    <row r="48" spans="1:14" ht="38.25" customHeight="1" x14ac:dyDescent="0.2">
      <c r="A48" s="717"/>
      <c r="B48" s="718"/>
      <c r="C48" s="719"/>
      <c r="D48" s="683"/>
      <c r="E48" s="682"/>
      <c r="F48" s="711"/>
      <c r="G48" s="714"/>
      <c r="H48" s="686"/>
      <c r="I48" s="687"/>
      <c r="J48" s="688"/>
      <c r="K48" s="295" t="s">
        <v>796</v>
      </c>
      <c r="L48" s="301">
        <v>0</v>
      </c>
      <c r="M48" s="715"/>
      <c r="N48" s="690"/>
    </row>
    <row r="49" spans="1:14" ht="40" x14ac:dyDescent="0.2">
      <c r="A49" s="717" t="s">
        <v>770</v>
      </c>
      <c r="B49" s="718" t="s">
        <v>771</v>
      </c>
      <c r="C49" s="719" t="s">
        <v>798</v>
      </c>
      <c r="D49" s="741" t="s">
        <v>799</v>
      </c>
      <c r="E49" s="682"/>
      <c r="F49" s="709"/>
      <c r="G49" s="712"/>
      <c r="H49" s="686" t="s">
        <v>27</v>
      </c>
      <c r="I49" s="687">
        <v>4</v>
      </c>
      <c r="J49" s="688">
        <f>(I49/$I$89)/_xlfn.XLOOKUP('Scoring Summary'!$D$24,'Response Guidlines'!$D$92:$D$191,'Response Guidlines'!$C$92:$C$191,"",0,1)</f>
        <v>3.6697247706421656E-3</v>
      </c>
      <c r="K49" s="295" t="s">
        <v>800</v>
      </c>
      <c r="L49" s="301">
        <f t="shared" ref="L49" si="15">J49</f>
        <v>3.6697247706421656E-3</v>
      </c>
      <c r="M49" s="715">
        <v>0</v>
      </c>
      <c r="N49" s="690"/>
    </row>
    <row r="50" spans="1:14" ht="40.5" x14ac:dyDescent="0.2">
      <c r="A50" s="717"/>
      <c r="B50" s="718"/>
      <c r="C50" s="719"/>
      <c r="D50" s="683"/>
      <c r="E50" s="682"/>
      <c r="F50" s="710"/>
      <c r="G50" s="713"/>
      <c r="H50" s="686"/>
      <c r="I50" s="687"/>
      <c r="J50" s="688"/>
      <c r="K50" s="295" t="s">
        <v>801</v>
      </c>
      <c r="L50" s="301">
        <f>L49*0.5</f>
        <v>1.8348623853210828E-3</v>
      </c>
      <c r="M50" s="715"/>
      <c r="N50" s="690"/>
    </row>
    <row r="51" spans="1:14" ht="40.5" x14ac:dyDescent="0.2">
      <c r="A51" s="717"/>
      <c r="B51" s="718"/>
      <c r="C51" s="719"/>
      <c r="D51" s="683"/>
      <c r="E51" s="682"/>
      <c r="F51" s="711"/>
      <c r="G51" s="714"/>
      <c r="H51" s="686"/>
      <c r="I51" s="687"/>
      <c r="J51" s="688"/>
      <c r="K51" s="295" t="s">
        <v>802</v>
      </c>
      <c r="L51" s="301">
        <v>0</v>
      </c>
      <c r="M51" s="715"/>
      <c r="N51" s="690"/>
    </row>
    <row r="52" spans="1:14" ht="27" customHeight="1" x14ac:dyDescent="0.2">
      <c r="A52" s="717" t="s">
        <v>919</v>
      </c>
      <c r="B52" s="718" t="s">
        <v>771</v>
      </c>
      <c r="C52" s="719" t="s">
        <v>804</v>
      </c>
      <c r="D52" s="741" t="s">
        <v>805</v>
      </c>
      <c r="E52" s="742"/>
      <c r="F52" s="709"/>
      <c r="G52" s="712"/>
      <c r="H52" s="686" t="s">
        <v>27</v>
      </c>
      <c r="I52" s="687">
        <v>4</v>
      </c>
      <c r="J52" s="688">
        <f>(I52/$I$89)/_xlfn.XLOOKUP('Scoring Summary'!$D$24,'Response Guidlines'!$D$92:$D$191,'Response Guidlines'!$C$92:$C$191,"",0,1)</f>
        <v>3.6697247706421656E-3</v>
      </c>
      <c r="K52" s="304" t="s">
        <v>806</v>
      </c>
      <c r="L52" s="301"/>
      <c r="M52" s="715">
        <v>0</v>
      </c>
      <c r="N52" s="690"/>
    </row>
    <row r="53" spans="1:14" ht="22.5" customHeight="1" x14ac:dyDescent="0.2">
      <c r="A53" s="717"/>
      <c r="B53" s="718"/>
      <c r="C53" s="719"/>
      <c r="D53" s="683"/>
      <c r="E53" s="743"/>
      <c r="F53" s="710"/>
      <c r="G53" s="713"/>
      <c r="H53" s="686"/>
      <c r="I53" s="687"/>
      <c r="J53" s="688"/>
      <c r="K53" s="295" t="s">
        <v>808</v>
      </c>
      <c r="L53" s="301">
        <f>J52/3</f>
        <v>1.2232415902140553E-3</v>
      </c>
      <c r="M53" s="715"/>
      <c r="N53" s="690"/>
    </row>
    <row r="54" spans="1:14" ht="24.75" customHeight="1" x14ac:dyDescent="0.2">
      <c r="A54" s="717"/>
      <c r="B54" s="718"/>
      <c r="C54" s="719"/>
      <c r="D54" s="683"/>
      <c r="E54" s="743"/>
      <c r="F54" s="710"/>
      <c r="G54" s="713"/>
      <c r="H54" s="686"/>
      <c r="I54" s="687"/>
      <c r="J54" s="688"/>
      <c r="K54" s="295" t="s">
        <v>809</v>
      </c>
      <c r="L54" s="301">
        <f>L53</f>
        <v>1.2232415902140553E-3</v>
      </c>
      <c r="M54" s="715"/>
      <c r="N54" s="690"/>
    </row>
    <row r="55" spans="1:14" ht="134.25" customHeight="1" x14ac:dyDescent="0.2">
      <c r="A55" s="717"/>
      <c r="B55" s="718"/>
      <c r="C55" s="719"/>
      <c r="D55" s="683"/>
      <c r="E55" s="744"/>
      <c r="F55" s="711"/>
      <c r="G55" s="714"/>
      <c r="H55" s="686"/>
      <c r="I55" s="687"/>
      <c r="J55" s="688"/>
      <c r="K55" s="295" t="s">
        <v>810</v>
      </c>
      <c r="L55" s="301">
        <f>L53</f>
        <v>1.2232415902140553E-3</v>
      </c>
      <c r="M55" s="715"/>
      <c r="N55" s="690"/>
    </row>
    <row r="56" spans="1:14" ht="30" x14ac:dyDescent="0.2">
      <c r="A56" s="717" t="s">
        <v>775</v>
      </c>
      <c r="B56" s="718" t="s">
        <v>771</v>
      </c>
      <c r="C56" s="719" t="s">
        <v>812</v>
      </c>
      <c r="D56" s="741" t="s">
        <v>813</v>
      </c>
      <c r="E56" s="682"/>
      <c r="F56" s="709"/>
      <c r="G56" s="712"/>
      <c r="H56" s="686" t="s">
        <v>27</v>
      </c>
      <c r="I56" s="687">
        <v>4</v>
      </c>
      <c r="J56" s="688">
        <f>(I56/$I$89)/_xlfn.XLOOKUP('Scoring Summary'!$D$24,'Response Guidlines'!$D$92:$D$191,'Response Guidlines'!$C$92:$C$191,"",0,1)</f>
        <v>3.6697247706421656E-3</v>
      </c>
      <c r="K56" s="295" t="s">
        <v>814</v>
      </c>
      <c r="L56" s="301">
        <f t="shared" ref="L56" si="16">J56</f>
        <v>3.6697247706421656E-3</v>
      </c>
      <c r="M56" s="715">
        <v>0</v>
      </c>
      <c r="N56" s="690"/>
    </row>
    <row r="57" spans="1:14" ht="10" x14ac:dyDescent="0.2">
      <c r="A57" s="717"/>
      <c r="B57" s="718"/>
      <c r="C57" s="719"/>
      <c r="D57" s="683"/>
      <c r="E57" s="682"/>
      <c r="F57" s="710"/>
      <c r="G57" s="713"/>
      <c r="H57" s="686"/>
      <c r="I57" s="687"/>
      <c r="J57" s="688"/>
      <c r="K57" s="295" t="s">
        <v>815</v>
      </c>
      <c r="L57" s="301">
        <f>L56*0.5</f>
        <v>1.8348623853210828E-3</v>
      </c>
      <c r="M57" s="715"/>
      <c r="N57" s="690"/>
    </row>
    <row r="58" spans="1:14" ht="33.75" customHeight="1" x14ac:dyDescent="0.2">
      <c r="A58" s="717"/>
      <c r="B58" s="718"/>
      <c r="C58" s="719"/>
      <c r="D58" s="683"/>
      <c r="E58" s="682"/>
      <c r="F58" s="711"/>
      <c r="G58" s="714"/>
      <c r="H58" s="686"/>
      <c r="I58" s="687"/>
      <c r="J58" s="688"/>
      <c r="K58" s="295" t="s">
        <v>816</v>
      </c>
      <c r="L58" s="301">
        <v>0</v>
      </c>
      <c r="M58" s="715"/>
      <c r="N58" s="690"/>
    </row>
    <row r="59" spans="1:14" ht="21" x14ac:dyDescent="0.2">
      <c r="A59" s="717" t="s">
        <v>782</v>
      </c>
      <c r="B59" s="718" t="s">
        <v>771</v>
      </c>
      <c r="C59" s="719" t="s">
        <v>818</v>
      </c>
      <c r="D59" s="741" t="s">
        <v>819</v>
      </c>
      <c r="E59" s="682"/>
      <c r="F59" s="709"/>
      <c r="G59" s="712"/>
      <c r="H59" s="686" t="s">
        <v>27</v>
      </c>
      <c r="I59" s="687">
        <v>4</v>
      </c>
      <c r="J59" s="688">
        <f>(I59/$I$89)/_xlfn.XLOOKUP('Scoring Summary'!$D$24,'Response Guidlines'!$D$92:$D$191,'Response Guidlines'!$C$92:$C$191,"",0,1)</f>
        <v>3.6697247706421656E-3</v>
      </c>
      <c r="K59" s="304" t="s">
        <v>806</v>
      </c>
      <c r="L59" s="301"/>
      <c r="M59" s="715">
        <v>0</v>
      </c>
      <c r="N59" s="690"/>
    </row>
    <row r="60" spans="1:14" ht="25.5" customHeight="1" x14ac:dyDescent="0.2">
      <c r="A60" s="717"/>
      <c r="B60" s="718"/>
      <c r="C60" s="719"/>
      <c r="D60" s="683"/>
      <c r="E60" s="682"/>
      <c r="F60" s="710"/>
      <c r="G60" s="713"/>
      <c r="H60" s="686"/>
      <c r="I60" s="687"/>
      <c r="J60" s="688"/>
      <c r="K60" s="295" t="s">
        <v>820</v>
      </c>
      <c r="L60" s="301">
        <f>J59/2</f>
        <v>1.8348623853210828E-3</v>
      </c>
      <c r="M60" s="715"/>
      <c r="N60" s="690"/>
    </row>
    <row r="61" spans="1:14" ht="36" customHeight="1" x14ac:dyDescent="0.2">
      <c r="A61" s="717"/>
      <c r="B61" s="718"/>
      <c r="C61" s="719"/>
      <c r="D61" s="683"/>
      <c r="E61" s="682"/>
      <c r="F61" s="711"/>
      <c r="G61" s="714"/>
      <c r="H61" s="686"/>
      <c r="I61" s="687"/>
      <c r="J61" s="688"/>
      <c r="K61" s="295" t="s">
        <v>821</v>
      </c>
      <c r="L61" s="301">
        <f>J59/2</f>
        <v>1.8348623853210828E-3</v>
      </c>
      <c r="M61" s="715"/>
      <c r="N61" s="690"/>
    </row>
    <row r="62" spans="1:14" ht="31" x14ac:dyDescent="0.2">
      <c r="A62" s="717" t="s">
        <v>933</v>
      </c>
      <c r="B62" s="718" t="s">
        <v>771</v>
      </c>
      <c r="C62" s="719" t="s">
        <v>823</v>
      </c>
      <c r="D62" s="741" t="s">
        <v>824</v>
      </c>
      <c r="E62" s="682"/>
      <c r="F62" s="709"/>
      <c r="G62" s="712"/>
      <c r="H62" s="686" t="s">
        <v>27</v>
      </c>
      <c r="I62" s="687">
        <v>4</v>
      </c>
      <c r="J62" s="688">
        <f>(I62/$I$89)/_xlfn.XLOOKUP('Scoring Summary'!$D$24,'Response Guidlines'!$D$92:$D$191,'Response Guidlines'!$C$92:$C$191,"",0,1)</f>
        <v>3.6697247706421656E-3</v>
      </c>
      <c r="K62" s="295" t="s">
        <v>825</v>
      </c>
      <c r="L62" s="301">
        <f t="shared" ref="L62" si="17">J62</f>
        <v>3.6697247706421656E-3</v>
      </c>
      <c r="M62" s="715">
        <v>0</v>
      </c>
      <c r="N62" s="690"/>
    </row>
    <row r="63" spans="1:14" ht="31.5" x14ac:dyDescent="0.2">
      <c r="A63" s="717"/>
      <c r="B63" s="718"/>
      <c r="C63" s="719"/>
      <c r="D63" s="683"/>
      <c r="E63" s="682"/>
      <c r="F63" s="710"/>
      <c r="G63" s="713"/>
      <c r="H63" s="686"/>
      <c r="I63" s="687"/>
      <c r="J63" s="688"/>
      <c r="K63" s="295" t="s">
        <v>826</v>
      </c>
      <c r="L63" s="301">
        <f>L62*0.5</f>
        <v>1.8348623853210828E-3</v>
      </c>
      <c r="M63" s="715"/>
      <c r="N63" s="690"/>
    </row>
    <row r="64" spans="1:14" ht="32.25" customHeight="1" x14ac:dyDescent="0.2">
      <c r="A64" s="717"/>
      <c r="B64" s="718"/>
      <c r="C64" s="719"/>
      <c r="D64" s="683"/>
      <c r="E64" s="682"/>
      <c r="F64" s="711"/>
      <c r="G64" s="714"/>
      <c r="H64" s="686"/>
      <c r="I64" s="687"/>
      <c r="J64" s="688"/>
      <c r="K64" s="295" t="s">
        <v>827</v>
      </c>
      <c r="L64" s="301">
        <v>0</v>
      </c>
      <c r="M64" s="715"/>
      <c r="N64" s="690"/>
    </row>
    <row r="65" spans="1:14" ht="15" customHeight="1" x14ac:dyDescent="0.2">
      <c r="A65" s="717" t="s">
        <v>790</v>
      </c>
      <c r="B65" s="718" t="s">
        <v>771</v>
      </c>
      <c r="C65" s="719" t="s">
        <v>829</v>
      </c>
      <c r="D65" s="741" t="s">
        <v>830</v>
      </c>
      <c r="E65" s="682"/>
      <c r="F65" s="709"/>
      <c r="G65" s="712"/>
      <c r="H65" s="686" t="s">
        <v>27</v>
      </c>
      <c r="I65" s="687">
        <v>4</v>
      </c>
      <c r="J65" s="688">
        <f>(I65/$I$89)/_xlfn.XLOOKUP('Scoring Summary'!$D$24,'Response Guidlines'!$D$92:$D$191,'Response Guidlines'!$C$92:$C$191,"",0,1)</f>
        <v>3.6697247706421656E-3</v>
      </c>
      <c r="K65" s="295" t="s">
        <v>831</v>
      </c>
      <c r="L65" s="301">
        <f t="shared" ref="L65" si="18">J65</f>
        <v>3.6697247706421656E-3</v>
      </c>
      <c r="M65" s="715">
        <v>0</v>
      </c>
      <c r="N65" s="690"/>
    </row>
    <row r="66" spans="1:14" ht="20" x14ac:dyDescent="0.2">
      <c r="A66" s="717"/>
      <c r="B66" s="718"/>
      <c r="C66" s="719"/>
      <c r="D66" s="683"/>
      <c r="E66" s="682"/>
      <c r="F66" s="710"/>
      <c r="G66" s="713"/>
      <c r="H66" s="686"/>
      <c r="I66" s="687"/>
      <c r="J66" s="688"/>
      <c r="K66" s="295" t="s">
        <v>832</v>
      </c>
      <c r="L66" s="301">
        <f>L65*0.5</f>
        <v>1.8348623853210828E-3</v>
      </c>
      <c r="M66" s="715"/>
      <c r="N66" s="690"/>
    </row>
    <row r="67" spans="1:14" ht="20.5" x14ac:dyDescent="0.2">
      <c r="A67" s="717"/>
      <c r="B67" s="718"/>
      <c r="C67" s="719"/>
      <c r="D67" s="683"/>
      <c r="E67" s="682"/>
      <c r="F67" s="711"/>
      <c r="G67" s="714"/>
      <c r="H67" s="686"/>
      <c r="I67" s="687"/>
      <c r="J67" s="688"/>
      <c r="K67" s="295" t="s">
        <v>833</v>
      </c>
      <c r="L67" s="301">
        <v>0</v>
      </c>
      <c r="M67" s="715"/>
      <c r="N67" s="690"/>
    </row>
    <row r="68" spans="1:14" ht="16.5" customHeight="1" x14ac:dyDescent="0.2">
      <c r="A68" s="717" t="s">
        <v>797</v>
      </c>
      <c r="B68" s="718" t="s">
        <v>771</v>
      </c>
      <c r="C68" s="719" t="s">
        <v>835</v>
      </c>
      <c r="D68" s="741" t="s">
        <v>836</v>
      </c>
      <c r="E68" s="682"/>
      <c r="F68" s="709"/>
      <c r="G68" s="712"/>
      <c r="H68" s="686" t="s">
        <v>27</v>
      </c>
      <c r="I68" s="687">
        <v>4</v>
      </c>
      <c r="J68" s="688">
        <f>(I68/$I$89)/_xlfn.XLOOKUP('Scoring Summary'!$D$24,'Response Guidlines'!$D$92:$D$191,'Response Guidlines'!$C$92:$C$191,"",0,1)</f>
        <v>3.6697247706421656E-3</v>
      </c>
      <c r="K68" s="295" t="s">
        <v>837</v>
      </c>
      <c r="L68" s="301">
        <f t="shared" ref="L68" si="19">J68</f>
        <v>3.6697247706421656E-3</v>
      </c>
      <c r="M68" s="715">
        <v>0</v>
      </c>
      <c r="N68" s="690"/>
    </row>
    <row r="69" spans="1:14" ht="20" x14ac:dyDescent="0.2">
      <c r="A69" s="717"/>
      <c r="B69" s="718"/>
      <c r="C69" s="719"/>
      <c r="D69" s="683"/>
      <c r="E69" s="682"/>
      <c r="F69" s="710"/>
      <c r="G69" s="713"/>
      <c r="H69" s="686"/>
      <c r="I69" s="687"/>
      <c r="J69" s="688"/>
      <c r="K69" s="295" t="s">
        <v>838</v>
      </c>
      <c r="L69" s="301">
        <f>L68*0.5</f>
        <v>1.8348623853210828E-3</v>
      </c>
      <c r="M69" s="715"/>
      <c r="N69" s="690"/>
    </row>
    <row r="70" spans="1:14" ht="24" customHeight="1" x14ac:dyDescent="0.2">
      <c r="A70" s="717"/>
      <c r="B70" s="718"/>
      <c r="C70" s="719"/>
      <c r="D70" s="683"/>
      <c r="E70" s="682"/>
      <c r="F70" s="711"/>
      <c r="G70" s="714"/>
      <c r="H70" s="686"/>
      <c r="I70" s="687"/>
      <c r="J70" s="688"/>
      <c r="K70" s="295" t="s">
        <v>839</v>
      </c>
      <c r="L70" s="301">
        <v>0</v>
      </c>
      <c r="M70" s="715"/>
      <c r="N70" s="690"/>
    </row>
    <row r="71" spans="1:14" ht="10" x14ac:dyDescent="0.2">
      <c r="A71" s="717" t="s">
        <v>803</v>
      </c>
      <c r="B71" s="718" t="s">
        <v>771</v>
      </c>
      <c r="C71" s="719" t="s">
        <v>841</v>
      </c>
      <c r="D71" s="741" t="s">
        <v>842</v>
      </c>
      <c r="E71" s="682"/>
      <c r="F71" s="709"/>
      <c r="G71" s="712"/>
      <c r="H71" s="686" t="s">
        <v>27</v>
      </c>
      <c r="I71" s="687">
        <v>4</v>
      </c>
      <c r="J71" s="688">
        <f>(I71/$I$89)/_xlfn.XLOOKUP('Scoring Summary'!$D$24,'Response Guidlines'!$D$92:$D$191,'Response Guidlines'!$C$92:$C$191,"",0,1)</f>
        <v>3.6697247706421656E-3</v>
      </c>
      <c r="K71" s="295" t="s">
        <v>843</v>
      </c>
      <c r="L71" s="301">
        <f t="shared" ref="L71" si="20">J71</f>
        <v>3.6697247706421656E-3</v>
      </c>
      <c r="M71" s="715">
        <v>0</v>
      </c>
      <c r="N71" s="690"/>
    </row>
    <row r="72" spans="1:14" ht="20" x14ac:dyDescent="0.2">
      <c r="A72" s="717"/>
      <c r="B72" s="718"/>
      <c r="C72" s="719"/>
      <c r="D72" s="683"/>
      <c r="E72" s="682"/>
      <c r="F72" s="710"/>
      <c r="G72" s="713"/>
      <c r="H72" s="686"/>
      <c r="I72" s="687"/>
      <c r="J72" s="688"/>
      <c r="K72" s="295" t="s">
        <v>844</v>
      </c>
      <c r="L72" s="301">
        <f>L71*0.5</f>
        <v>1.8348623853210828E-3</v>
      </c>
      <c r="M72" s="715"/>
      <c r="N72" s="690"/>
    </row>
    <row r="73" spans="1:14" ht="24.75" customHeight="1" x14ac:dyDescent="0.2">
      <c r="A73" s="717"/>
      <c r="B73" s="718"/>
      <c r="C73" s="719"/>
      <c r="D73" s="683"/>
      <c r="E73" s="682"/>
      <c r="F73" s="711"/>
      <c r="G73" s="714"/>
      <c r="H73" s="686"/>
      <c r="I73" s="687"/>
      <c r="J73" s="688"/>
      <c r="K73" s="295" t="s">
        <v>845</v>
      </c>
      <c r="L73" s="301">
        <v>0</v>
      </c>
      <c r="M73" s="715"/>
      <c r="N73" s="690"/>
    </row>
    <row r="74" spans="1:14" ht="30.75" customHeight="1" x14ac:dyDescent="0.2">
      <c r="A74" s="717" t="s">
        <v>811</v>
      </c>
      <c r="B74" s="718" t="s">
        <v>771</v>
      </c>
      <c r="C74" s="719" t="s">
        <v>847</v>
      </c>
      <c r="D74" s="741" t="s">
        <v>848</v>
      </c>
      <c r="E74" s="682"/>
      <c r="F74" s="709"/>
      <c r="G74" s="712"/>
      <c r="H74" s="686" t="s">
        <v>27</v>
      </c>
      <c r="I74" s="687">
        <v>4</v>
      </c>
      <c r="J74" s="688">
        <f>(I74/$I$89)/_xlfn.XLOOKUP('Scoring Summary'!$D$24,'Response Guidlines'!$D$92:$D$191,'Response Guidlines'!$C$92:$C$191,"",0,1)</f>
        <v>3.6697247706421656E-3</v>
      </c>
      <c r="K74" s="295" t="s">
        <v>849</v>
      </c>
      <c r="L74" s="301">
        <f t="shared" ref="L74" si="21">J74</f>
        <v>3.6697247706421656E-3</v>
      </c>
      <c r="M74" s="715">
        <v>0</v>
      </c>
      <c r="N74" s="690"/>
    </row>
    <row r="75" spans="1:14" ht="20" x14ac:dyDescent="0.2">
      <c r="A75" s="717"/>
      <c r="B75" s="718"/>
      <c r="C75" s="719"/>
      <c r="D75" s="683"/>
      <c r="E75" s="682"/>
      <c r="F75" s="710"/>
      <c r="G75" s="713"/>
      <c r="H75" s="686"/>
      <c r="I75" s="687"/>
      <c r="J75" s="688"/>
      <c r="K75" s="295" t="s">
        <v>851</v>
      </c>
      <c r="L75" s="301">
        <f>L74*0.5</f>
        <v>1.8348623853210828E-3</v>
      </c>
      <c r="M75" s="715"/>
      <c r="N75" s="690"/>
    </row>
    <row r="76" spans="1:14" ht="104.25" customHeight="1" x14ac:dyDescent="0.2">
      <c r="A76" s="717"/>
      <c r="B76" s="718"/>
      <c r="C76" s="719"/>
      <c r="D76" s="683"/>
      <c r="E76" s="682"/>
      <c r="F76" s="711"/>
      <c r="G76" s="714"/>
      <c r="H76" s="686"/>
      <c r="I76" s="687"/>
      <c r="J76" s="688"/>
      <c r="K76" s="295" t="s">
        <v>852</v>
      </c>
      <c r="L76" s="301">
        <v>0</v>
      </c>
      <c r="M76" s="715"/>
      <c r="N76" s="690"/>
    </row>
    <row r="77" spans="1:14" ht="26.25" customHeight="1" x14ac:dyDescent="0.2">
      <c r="A77" s="717" t="s">
        <v>817</v>
      </c>
      <c r="B77" s="718" t="s">
        <v>771</v>
      </c>
      <c r="C77" s="719" t="s">
        <v>854</v>
      </c>
      <c r="D77" s="741" t="s">
        <v>855</v>
      </c>
      <c r="E77" s="682"/>
      <c r="F77" s="709"/>
      <c r="G77" s="712"/>
      <c r="H77" s="686" t="s">
        <v>27</v>
      </c>
      <c r="I77" s="687">
        <v>4</v>
      </c>
      <c r="J77" s="688">
        <f>(I77/$I$89)/_xlfn.XLOOKUP('Scoring Summary'!$D$24,'Response Guidlines'!$D$92:$D$191,'Response Guidlines'!$C$92:$C$191,"",0,1)</f>
        <v>3.6697247706421656E-3</v>
      </c>
      <c r="K77" s="295" t="s">
        <v>856</v>
      </c>
      <c r="L77" s="301">
        <f t="shared" ref="L77" si="22">J77</f>
        <v>3.6697247706421656E-3</v>
      </c>
      <c r="M77" s="715">
        <v>0</v>
      </c>
      <c r="N77" s="690"/>
    </row>
    <row r="78" spans="1:14" ht="30" x14ac:dyDescent="0.2">
      <c r="A78" s="717"/>
      <c r="B78" s="718"/>
      <c r="C78" s="719"/>
      <c r="D78" s="683"/>
      <c r="E78" s="682"/>
      <c r="F78" s="710"/>
      <c r="G78" s="713"/>
      <c r="H78" s="686"/>
      <c r="I78" s="687"/>
      <c r="J78" s="688"/>
      <c r="K78" s="295" t="s">
        <v>857</v>
      </c>
      <c r="L78" s="301">
        <f>L77*0.5</f>
        <v>1.8348623853210828E-3</v>
      </c>
      <c r="M78" s="715"/>
      <c r="N78" s="690"/>
    </row>
    <row r="79" spans="1:14" ht="26.25" customHeight="1" x14ac:dyDescent="0.2">
      <c r="A79" s="717"/>
      <c r="B79" s="718"/>
      <c r="C79" s="719"/>
      <c r="D79" s="683"/>
      <c r="E79" s="682"/>
      <c r="F79" s="711"/>
      <c r="G79" s="714"/>
      <c r="H79" s="686"/>
      <c r="I79" s="687"/>
      <c r="J79" s="688"/>
      <c r="K79" s="295" t="s">
        <v>858</v>
      </c>
      <c r="L79" s="301">
        <v>0</v>
      </c>
      <c r="M79" s="715"/>
      <c r="N79" s="690"/>
    </row>
    <row r="80" spans="1:14" ht="30" x14ac:dyDescent="0.2">
      <c r="A80" s="717" t="s">
        <v>822</v>
      </c>
      <c r="B80" s="718" t="s">
        <v>771</v>
      </c>
      <c r="C80" s="719" t="s">
        <v>860</v>
      </c>
      <c r="D80" s="741" t="s">
        <v>861</v>
      </c>
      <c r="E80" s="682"/>
      <c r="F80" s="709"/>
      <c r="G80" s="712"/>
      <c r="H80" s="686" t="s">
        <v>27</v>
      </c>
      <c r="I80" s="687">
        <v>4</v>
      </c>
      <c r="J80" s="688">
        <f>(I80/$I$89)/_xlfn.XLOOKUP('Scoring Summary'!$D$24,'Response Guidlines'!$D$92:$D$191,'Response Guidlines'!$C$92:$C$191,"",0,1)</f>
        <v>3.6697247706421656E-3</v>
      </c>
      <c r="K80" s="303" t="s">
        <v>862</v>
      </c>
      <c r="L80" s="301">
        <f t="shared" ref="L80" si="23">J80</f>
        <v>3.6697247706421656E-3</v>
      </c>
      <c r="M80" s="715">
        <v>0</v>
      </c>
      <c r="N80" s="690"/>
    </row>
    <row r="81" spans="1:14" ht="30" x14ac:dyDescent="0.2">
      <c r="A81" s="717"/>
      <c r="B81" s="718"/>
      <c r="C81" s="719"/>
      <c r="D81" s="683"/>
      <c r="E81" s="682"/>
      <c r="F81" s="710"/>
      <c r="G81" s="713"/>
      <c r="H81" s="686"/>
      <c r="I81" s="687"/>
      <c r="J81" s="688"/>
      <c r="K81" s="295" t="s">
        <v>863</v>
      </c>
      <c r="L81" s="301">
        <f>L80*0.5</f>
        <v>1.8348623853210828E-3</v>
      </c>
      <c r="M81" s="715"/>
      <c r="N81" s="690"/>
    </row>
    <row r="82" spans="1:14" ht="40.5" customHeight="1" x14ac:dyDescent="0.2">
      <c r="A82" s="717"/>
      <c r="B82" s="718"/>
      <c r="C82" s="719"/>
      <c r="D82" s="683"/>
      <c r="E82" s="682"/>
      <c r="F82" s="711"/>
      <c r="G82" s="714"/>
      <c r="H82" s="686"/>
      <c r="I82" s="687"/>
      <c r="J82" s="688"/>
      <c r="K82" s="295" t="s">
        <v>864</v>
      </c>
      <c r="L82" s="301">
        <v>0</v>
      </c>
      <c r="M82" s="715"/>
      <c r="N82" s="690"/>
    </row>
    <row r="83" spans="1:14" ht="35.25" customHeight="1" x14ac:dyDescent="0.2">
      <c r="A83" s="717" t="s">
        <v>828</v>
      </c>
      <c r="B83" s="718" t="s">
        <v>771</v>
      </c>
      <c r="C83" s="719" t="s">
        <v>866</v>
      </c>
      <c r="D83" s="741" t="s">
        <v>867</v>
      </c>
      <c r="E83" s="682"/>
      <c r="F83" s="709"/>
      <c r="G83" s="712"/>
      <c r="H83" s="686" t="s">
        <v>27</v>
      </c>
      <c r="I83" s="687">
        <v>4</v>
      </c>
      <c r="J83" s="688">
        <f>(I83/$I$89)/_xlfn.XLOOKUP('Scoring Summary'!$D$24,'Response Guidlines'!$D$92:$D$191,'Response Guidlines'!$C$92:$C$191,"",0,1)</f>
        <v>3.6697247706421656E-3</v>
      </c>
      <c r="K83" s="303" t="s">
        <v>868</v>
      </c>
      <c r="L83" s="301">
        <f t="shared" ref="L83" si="24">J83</f>
        <v>3.6697247706421656E-3</v>
      </c>
      <c r="M83" s="715">
        <v>0</v>
      </c>
      <c r="N83" s="690"/>
    </row>
    <row r="84" spans="1:14" ht="20" x14ac:dyDescent="0.2">
      <c r="A84" s="717"/>
      <c r="B84" s="718"/>
      <c r="C84" s="719"/>
      <c r="D84" s="683"/>
      <c r="E84" s="682"/>
      <c r="F84" s="710"/>
      <c r="G84" s="713"/>
      <c r="H84" s="686"/>
      <c r="I84" s="687"/>
      <c r="J84" s="688"/>
      <c r="K84" s="295" t="s">
        <v>869</v>
      </c>
      <c r="L84" s="301">
        <f>L83*0.5</f>
        <v>1.8348623853210828E-3</v>
      </c>
      <c r="M84" s="715"/>
      <c r="N84" s="690"/>
    </row>
    <row r="85" spans="1:14" ht="10.5" customHeight="1" x14ac:dyDescent="0.2">
      <c r="A85" s="717"/>
      <c r="B85" s="718"/>
      <c r="C85" s="719"/>
      <c r="D85" s="683"/>
      <c r="E85" s="682"/>
      <c r="F85" s="711"/>
      <c r="G85" s="714"/>
      <c r="H85" s="686"/>
      <c r="I85" s="687"/>
      <c r="J85" s="688"/>
      <c r="K85" s="295" t="s">
        <v>870</v>
      </c>
      <c r="L85" s="301">
        <v>0</v>
      </c>
      <c r="M85" s="715"/>
      <c r="N85" s="690"/>
    </row>
    <row r="86" spans="1:14" ht="10.5" customHeight="1" x14ac:dyDescent="0.2">
      <c r="A86" s="717" t="s">
        <v>1263</v>
      </c>
      <c r="B86" s="718" t="s">
        <v>771</v>
      </c>
      <c r="C86" s="719" t="s">
        <v>872</v>
      </c>
      <c r="D86" s="741" t="s">
        <v>873</v>
      </c>
      <c r="E86" s="682"/>
      <c r="F86" s="709"/>
      <c r="G86" s="712"/>
      <c r="H86" s="686" t="s">
        <v>27</v>
      </c>
      <c r="I86" s="687">
        <v>4</v>
      </c>
      <c r="J86" s="688">
        <f>(I86/$I$89)/_xlfn.XLOOKUP('Scoring Summary'!$D$24,'Response Guidlines'!$D$92:$D$191,'Response Guidlines'!$C$92:$C$191,"",0,1)</f>
        <v>3.6697247706421656E-3</v>
      </c>
      <c r="K86" s="303" t="s">
        <v>874</v>
      </c>
      <c r="L86" s="301">
        <f t="shared" ref="L86" si="25">J86</f>
        <v>3.6697247706421656E-3</v>
      </c>
      <c r="M86" s="715">
        <v>0</v>
      </c>
      <c r="N86" s="690"/>
    </row>
    <row r="87" spans="1:14" ht="20" x14ac:dyDescent="0.2">
      <c r="A87" s="717"/>
      <c r="B87" s="718"/>
      <c r="C87" s="719"/>
      <c r="D87" s="683"/>
      <c r="E87" s="682"/>
      <c r="F87" s="710"/>
      <c r="G87" s="713"/>
      <c r="H87" s="686"/>
      <c r="I87" s="687"/>
      <c r="J87" s="688"/>
      <c r="K87" s="295" t="s">
        <v>875</v>
      </c>
      <c r="L87" s="301">
        <f>L86*0.5</f>
        <v>1.8348623853210828E-3</v>
      </c>
      <c r="M87" s="715"/>
      <c r="N87" s="690"/>
    </row>
    <row r="88" spans="1:14" ht="32.25" customHeight="1" thickBot="1" x14ac:dyDescent="0.25">
      <c r="A88" s="717"/>
      <c r="B88" s="718"/>
      <c r="C88" s="719"/>
      <c r="D88" s="683"/>
      <c r="E88" s="682"/>
      <c r="F88" s="711"/>
      <c r="G88" s="714"/>
      <c r="H88" s="686"/>
      <c r="I88" s="687"/>
      <c r="J88" s="688"/>
      <c r="K88" s="295" t="s">
        <v>876</v>
      </c>
      <c r="L88" s="301">
        <v>0</v>
      </c>
      <c r="M88" s="715"/>
      <c r="N88" s="690"/>
    </row>
    <row r="89" spans="1:14" ht="11" thickBot="1" x14ac:dyDescent="0.25">
      <c r="A89" s="144"/>
      <c r="B89" s="235"/>
      <c r="C89" s="206" t="s">
        <v>138</v>
      </c>
      <c r="D89" s="206"/>
      <c r="E89" s="206"/>
      <c r="F89" s="206"/>
      <c r="G89" s="206"/>
      <c r="H89" s="206"/>
      <c r="I89" s="252">
        <f>SUM(I12:I88)</f>
        <v>109</v>
      </c>
      <c r="J89" s="290">
        <f>SUM(J12:J88)</f>
        <v>9.9999999999998979E-2</v>
      </c>
      <c r="K89" s="461" t="s">
        <v>139</v>
      </c>
      <c r="L89" s="462"/>
      <c r="M89" s="255">
        <f>SUM(M12:M88)</f>
        <v>0</v>
      </c>
      <c r="N89" s="254"/>
    </row>
  </sheetData>
  <mergeCells count="331">
    <mergeCell ref="K89:L89"/>
    <mergeCell ref="M86:M88"/>
    <mergeCell ref="N86:N88"/>
    <mergeCell ref="N80:N82"/>
    <mergeCell ref="M77:M79"/>
    <mergeCell ref="N77:N79"/>
    <mergeCell ref="N74:N76"/>
    <mergeCell ref="N68:N70"/>
    <mergeCell ref="N65:N67"/>
    <mergeCell ref="N59:N61"/>
    <mergeCell ref="M56:M58"/>
    <mergeCell ref="N62:N64"/>
    <mergeCell ref="A86:A88"/>
    <mergeCell ref="B86:B88"/>
    <mergeCell ref="C86:C88"/>
    <mergeCell ref="D86:D88"/>
    <mergeCell ref="H86:H88"/>
    <mergeCell ref="I86:I88"/>
    <mergeCell ref="J86:J88"/>
    <mergeCell ref="E86:E88"/>
    <mergeCell ref="A83:A85"/>
    <mergeCell ref="B83:B85"/>
    <mergeCell ref="C83:C85"/>
    <mergeCell ref="D83:D85"/>
    <mergeCell ref="H83:H85"/>
    <mergeCell ref="I83:I85"/>
    <mergeCell ref="J83:J85"/>
    <mergeCell ref="M83:M85"/>
    <mergeCell ref="N83:N85"/>
    <mergeCell ref="A80:A82"/>
    <mergeCell ref="B80:B82"/>
    <mergeCell ref="C80:C82"/>
    <mergeCell ref="D80:D82"/>
    <mergeCell ref="H80:H82"/>
    <mergeCell ref="I80:I82"/>
    <mergeCell ref="J80:J82"/>
    <mergeCell ref="M80:M82"/>
    <mergeCell ref="J74:J76"/>
    <mergeCell ref="M74:M76"/>
    <mergeCell ref="A77:A79"/>
    <mergeCell ref="B77:B79"/>
    <mergeCell ref="C77:C79"/>
    <mergeCell ref="D77:D79"/>
    <mergeCell ref="H77:H79"/>
    <mergeCell ref="I77:I79"/>
    <mergeCell ref="J77:J79"/>
    <mergeCell ref="A74:A76"/>
    <mergeCell ref="B74:B76"/>
    <mergeCell ref="C74:C76"/>
    <mergeCell ref="D74:D76"/>
    <mergeCell ref="H74:H76"/>
    <mergeCell ref="I74:I76"/>
    <mergeCell ref="E74:E76"/>
    <mergeCell ref="A71:A73"/>
    <mergeCell ref="B71:B73"/>
    <mergeCell ref="C71:C73"/>
    <mergeCell ref="D71:D73"/>
    <mergeCell ref="H71:H73"/>
    <mergeCell ref="I71:I73"/>
    <mergeCell ref="J71:J73"/>
    <mergeCell ref="M71:M73"/>
    <mergeCell ref="N71:N73"/>
    <mergeCell ref="E71:E73"/>
    <mergeCell ref="F71:F73"/>
    <mergeCell ref="G71:G73"/>
    <mergeCell ref="A68:A70"/>
    <mergeCell ref="B68:B70"/>
    <mergeCell ref="C68:C70"/>
    <mergeCell ref="D68:D70"/>
    <mergeCell ref="H68:H70"/>
    <mergeCell ref="I68:I70"/>
    <mergeCell ref="J68:J70"/>
    <mergeCell ref="M68:M70"/>
    <mergeCell ref="J65:J67"/>
    <mergeCell ref="M65:M67"/>
    <mergeCell ref="A65:A67"/>
    <mergeCell ref="B65:B67"/>
    <mergeCell ref="C65:C67"/>
    <mergeCell ref="D65:D67"/>
    <mergeCell ref="H65:H67"/>
    <mergeCell ref="I65:I67"/>
    <mergeCell ref="A59:A61"/>
    <mergeCell ref="B59:B61"/>
    <mergeCell ref="C59:C61"/>
    <mergeCell ref="D59:D61"/>
    <mergeCell ref="H59:H61"/>
    <mergeCell ref="I59:I61"/>
    <mergeCell ref="J59:J61"/>
    <mergeCell ref="M59:M61"/>
    <mergeCell ref="A62:A64"/>
    <mergeCell ref="B62:B64"/>
    <mergeCell ref="C62:C64"/>
    <mergeCell ref="D62:D64"/>
    <mergeCell ref="H62:H64"/>
    <mergeCell ref="I62:I64"/>
    <mergeCell ref="J62:J64"/>
    <mergeCell ref="M62:M64"/>
    <mergeCell ref="E59:E61"/>
    <mergeCell ref="F59:F61"/>
    <mergeCell ref="G59:G61"/>
    <mergeCell ref="E62:E64"/>
    <mergeCell ref="F62:F64"/>
    <mergeCell ref="G62:G64"/>
    <mergeCell ref="J52:J55"/>
    <mergeCell ref="M52:M55"/>
    <mergeCell ref="N52:N55"/>
    <mergeCell ref="A56:A58"/>
    <mergeCell ref="B56:B58"/>
    <mergeCell ref="C56:C58"/>
    <mergeCell ref="D56:D58"/>
    <mergeCell ref="H56:H58"/>
    <mergeCell ref="I56:I58"/>
    <mergeCell ref="J56:J58"/>
    <mergeCell ref="A52:A55"/>
    <mergeCell ref="B52:B55"/>
    <mergeCell ref="C52:C55"/>
    <mergeCell ref="D52:D55"/>
    <mergeCell ref="H52:H55"/>
    <mergeCell ref="I52:I55"/>
    <mergeCell ref="N56:N58"/>
    <mergeCell ref="E52:E55"/>
    <mergeCell ref="F52:F55"/>
    <mergeCell ref="G52:G55"/>
    <mergeCell ref="E56:E58"/>
    <mergeCell ref="F56:F58"/>
    <mergeCell ref="G56:G58"/>
    <mergeCell ref="A49:A51"/>
    <mergeCell ref="B49:B51"/>
    <mergeCell ref="C49:C51"/>
    <mergeCell ref="D49:D51"/>
    <mergeCell ref="H49:H51"/>
    <mergeCell ref="I49:I51"/>
    <mergeCell ref="J49:J51"/>
    <mergeCell ref="M49:M51"/>
    <mergeCell ref="N49:N51"/>
    <mergeCell ref="E49:E51"/>
    <mergeCell ref="F49:F51"/>
    <mergeCell ref="G49:G51"/>
    <mergeCell ref="A46:A48"/>
    <mergeCell ref="B46:B48"/>
    <mergeCell ref="C46:C48"/>
    <mergeCell ref="D46:D48"/>
    <mergeCell ref="H46:H48"/>
    <mergeCell ref="I46:I48"/>
    <mergeCell ref="J46:J48"/>
    <mergeCell ref="M46:M48"/>
    <mergeCell ref="N46:N48"/>
    <mergeCell ref="F46:F48"/>
    <mergeCell ref="G46:G48"/>
    <mergeCell ref="E46:E48"/>
    <mergeCell ref="A40:A42"/>
    <mergeCell ref="B40:B42"/>
    <mergeCell ref="C40:C42"/>
    <mergeCell ref="D40:D42"/>
    <mergeCell ref="E40:E42"/>
    <mergeCell ref="F40:F42"/>
    <mergeCell ref="J43:J45"/>
    <mergeCell ref="M43:M45"/>
    <mergeCell ref="N43:N45"/>
    <mergeCell ref="A43:A45"/>
    <mergeCell ref="B43:B45"/>
    <mergeCell ref="C43:C45"/>
    <mergeCell ref="D43:D45"/>
    <mergeCell ref="H43:H45"/>
    <mergeCell ref="I43:I45"/>
    <mergeCell ref="E43:E45"/>
    <mergeCell ref="F43:F45"/>
    <mergeCell ref="G43:G45"/>
    <mergeCell ref="G40:G42"/>
    <mergeCell ref="H40:H42"/>
    <mergeCell ref="I40:I42"/>
    <mergeCell ref="J40:J42"/>
    <mergeCell ref="M40:M42"/>
    <mergeCell ref="N40:N42"/>
    <mergeCell ref="G36:G39"/>
    <mergeCell ref="H36:H39"/>
    <mergeCell ref="I36:I39"/>
    <mergeCell ref="J36:J39"/>
    <mergeCell ref="M36:M39"/>
    <mergeCell ref="N36:N39"/>
    <mergeCell ref="A36:A39"/>
    <mergeCell ref="B36:B39"/>
    <mergeCell ref="C36:C39"/>
    <mergeCell ref="D36:D39"/>
    <mergeCell ref="E36:E39"/>
    <mergeCell ref="F36:F39"/>
    <mergeCell ref="G33:G35"/>
    <mergeCell ref="H33:H35"/>
    <mergeCell ref="I33:I35"/>
    <mergeCell ref="J33:J35"/>
    <mergeCell ref="M33:M35"/>
    <mergeCell ref="N33:N35"/>
    <mergeCell ref="A33:A35"/>
    <mergeCell ref="B33:B35"/>
    <mergeCell ref="C33:C35"/>
    <mergeCell ref="D33:D35"/>
    <mergeCell ref="E33:E35"/>
    <mergeCell ref="F33:F35"/>
    <mergeCell ref="G30:G32"/>
    <mergeCell ref="H30:H32"/>
    <mergeCell ref="I30:I32"/>
    <mergeCell ref="J30:J32"/>
    <mergeCell ref="M30:M32"/>
    <mergeCell ref="N30:N32"/>
    <mergeCell ref="A30:A32"/>
    <mergeCell ref="B30:B32"/>
    <mergeCell ref="C30:C32"/>
    <mergeCell ref="D30:D32"/>
    <mergeCell ref="E30:E32"/>
    <mergeCell ref="F30:F32"/>
    <mergeCell ref="G28:G29"/>
    <mergeCell ref="H28:H29"/>
    <mergeCell ref="I28:I29"/>
    <mergeCell ref="J28:J29"/>
    <mergeCell ref="M28:M29"/>
    <mergeCell ref="N28:N29"/>
    <mergeCell ref="A28:A29"/>
    <mergeCell ref="B28:B29"/>
    <mergeCell ref="C28:C29"/>
    <mergeCell ref="D28:D29"/>
    <mergeCell ref="E28:E29"/>
    <mergeCell ref="F28:F29"/>
    <mergeCell ref="G26:G27"/>
    <mergeCell ref="H26:H27"/>
    <mergeCell ref="I26:I27"/>
    <mergeCell ref="J26:J27"/>
    <mergeCell ref="M26:M27"/>
    <mergeCell ref="N26:N27"/>
    <mergeCell ref="A26:A27"/>
    <mergeCell ref="B26:B27"/>
    <mergeCell ref="C26:C27"/>
    <mergeCell ref="D26:D27"/>
    <mergeCell ref="E26:E27"/>
    <mergeCell ref="F26:F27"/>
    <mergeCell ref="G24:G25"/>
    <mergeCell ref="H24:H25"/>
    <mergeCell ref="I24:I25"/>
    <mergeCell ref="J24:J25"/>
    <mergeCell ref="M24:M25"/>
    <mergeCell ref="N24:N25"/>
    <mergeCell ref="A24:A25"/>
    <mergeCell ref="B24:B25"/>
    <mergeCell ref="C24:C25"/>
    <mergeCell ref="D24:D25"/>
    <mergeCell ref="E24:E25"/>
    <mergeCell ref="F24:F25"/>
    <mergeCell ref="G21:G23"/>
    <mergeCell ref="H21:H23"/>
    <mergeCell ref="I21:I23"/>
    <mergeCell ref="J21:J23"/>
    <mergeCell ref="M21:M23"/>
    <mergeCell ref="N21:N23"/>
    <mergeCell ref="A21:A23"/>
    <mergeCell ref="B21:B23"/>
    <mergeCell ref="C21:C23"/>
    <mergeCell ref="D21:D23"/>
    <mergeCell ref="E21:E23"/>
    <mergeCell ref="F21:F23"/>
    <mergeCell ref="J19:J20"/>
    <mergeCell ref="M19:M20"/>
    <mergeCell ref="N19:N20"/>
    <mergeCell ref="A19:A20"/>
    <mergeCell ref="B19:B20"/>
    <mergeCell ref="C19:C20"/>
    <mergeCell ref="D19:D20"/>
    <mergeCell ref="E19:E20"/>
    <mergeCell ref="F19:F20"/>
    <mergeCell ref="A16:A18"/>
    <mergeCell ref="B16:B18"/>
    <mergeCell ref="C16:C18"/>
    <mergeCell ref="D16:D18"/>
    <mergeCell ref="E16:E18"/>
    <mergeCell ref="F16:F18"/>
    <mergeCell ref="G19:G20"/>
    <mergeCell ref="H19:H20"/>
    <mergeCell ref="I19:I20"/>
    <mergeCell ref="G12:G13"/>
    <mergeCell ref="H12:H13"/>
    <mergeCell ref="I12:I13"/>
    <mergeCell ref="J12:J13"/>
    <mergeCell ref="M12:M13"/>
    <mergeCell ref="N12:N13"/>
    <mergeCell ref="F2:H4"/>
    <mergeCell ref="A10:A11"/>
    <mergeCell ref="B10:D10"/>
    <mergeCell ref="E10:G10"/>
    <mergeCell ref="A12:A13"/>
    <mergeCell ref="B12:B13"/>
    <mergeCell ref="C12:C13"/>
    <mergeCell ref="D12:D13"/>
    <mergeCell ref="E12:E13"/>
    <mergeCell ref="F12:F13"/>
    <mergeCell ref="K9:N9"/>
    <mergeCell ref="E8:G9"/>
    <mergeCell ref="M14:M15"/>
    <mergeCell ref="N14:N15"/>
    <mergeCell ref="A14:A15"/>
    <mergeCell ref="E65:E67"/>
    <mergeCell ref="F65:F67"/>
    <mergeCell ref="G65:G67"/>
    <mergeCell ref="E68:E70"/>
    <mergeCell ref="F68:F70"/>
    <mergeCell ref="G68:G70"/>
    <mergeCell ref="B14:B15"/>
    <mergeCell ref="C14:C15"/>
    <mergeCell ref="D14:D15"/>
    <mergeCell ref="E14:E15"/>
    <mergeCell ref="F14:F15"/>
    <mergeCell ref="G16:G18"/>
    <mergeCell ref="H16:H18"/>
    <mergeCell ref="I16:I18"/>
    <mergeCell ref="J16:J18"/>
    <mergeCell ref="G14:G15"/>
    <mergeCell ref="H14:H15"/>
    <mergeCell ref="I14:I15"/>
    <mergeCell ref="J14:J15"/>
    <mergeCell ref="M16:M18"/>
    <mergeCell ref="N16:N18"/>
    <mergeCell ref="F86:F88"/>
    <mergeCell ref="G86:G88"/>
    <mergeCell ref="F74:F76"/>
    <mergeCell ref="G74:G76"/>
    <mergeCell ref="E77:E79"/>
    <mergeCell ref="F77:F79"/>
    <mergeCell ref="G77:G79"/>
    <mergeCell ref="E80:E82"/>
    <mergeCell ref="F80:F82"/>
    <mergeCell ref="G80:G82"/>
    <mergeCell ref="E83:E85"/>
    <mergeCell ref="F83:F85"/>
    <mergeCell ref="G83:G85"/>
  </mergeCells>
  <dataValidations count="50">
    <dataValidation type="list" allowBlank="1" showInputMessage="1" showErrorMessage="1" sqref="E40:E42" xr:uid="{2C58A4AC-224C-4DF2-9A75-EACB0E89F371}">
      <formula1>$K$40:$K$42</formula1>
    </dataValidation>
    <dataValidation type="list" allowBlank="1" showInputMessage="1" showErrorMessage="1" sqref="M40:M42" xr:uid="{49042CD1-6127-420D-8EA6-EDE119961EC0}">
      <formula1>$L$40:$L$42</formula1>
    </dataValidation>
    <dataValidation type="list" allowBlank="1" showInputMessage="1" showErrorMessage="1" sqref="E12:E13" xr:uid="{B80599D3-9664-4228-A17C-A43F697326E3}">
      <formula1>$K$12:$K$13</formula1>
    </dataValidation>
    <dataValidation type="list" allowBlank="1" showInputMessage="1" showErrorMessage="1" sqref="E14:E15" xr:uid="{ADE882FC-512A-41B5-891D-D7415D251C59}">
      <formula1>$K$14:$K$15</formula1>
    </dataValidation>
    <dataValidation type="list" allowBlank="1" showInputMessage="1" showErrorMessage="1" sqref="E16:E18" xr:uid="{A6F3B373-05BC-45FA-99A3-DBC3A5AEC046}">
      <formula1>$K$16:$K$18</formula1>
    </dataValidation>
    <dataValidation type="list" allowBlank="1" showInputMessage="1" showErrorMessage="1" sqref="E19:E20" xr:uid="{98EB4289-AE22-4FE7-B9C3-DD6A819F0C5F}">
      <formula1>$K$19:$K$20</formula1>
    </dataValidation>
    <dataValidation type="list" allowBlank="1" showInputMessage="1" showErrorMessage="1" sqref="E21:E23" xr:uid="{2927B3F8-6548-4D27-A487-61CA9AC1687D}">
      <formula1>$K$21:$K$23</formula1>
    </dataValidation>
    <dataValidation type="list" allowBlank="1" showInputMessage="1" showErrorMessage="1" sqref="E24:E25" xr:uid="{698E393F-F597-44DD-82E7-88E91DE4C28C}">
      <formula1>$K$24:$K$25</formula1>
    </dataValidation>
    <dataValidation type="list" allowBlank="1" showInputMessage="1" showErrorMessage="1" sqref="E26:E27" xr:uid="{E33419D5-C737-484F-845F-DEEC5C48689E}">
      <formula1>$K$26:$K$27</formula1>
    </dataValidation>
    <dataValidation type="list" allowBlank="1" showInputMessage="1" showErrorMessage="1" sqref="E28:E29" xr:uid="{7C031EB6-D01E-4D39-9AE9-BDFFB894DC4B}">
      <formula1>$K$28:$K$29</formula1>
    </dataValidation>
    <dataValidation type="list" allowBlank="1" showInputMessage="1" showErrorMessage="1" sqref="E30:E32" xr:uid="{F306A592-BD38-4C6E-B7C2-AF50B7A602EC}">
      <formula1>$K$30:$K$32</formula1>
    </dataValidation>
    <dataValidation type="list" allowBlank="1" showInputMessage="1" showErrorMessage="1" sqref="E33:E35" xr:uid="{7E3B94C8-8428-4A53-858A-3AC4AF324D29}">
      <formula1>$K$33:$K$35</formula1>
    </dataValidation>
    <dataValidation type="list" allowBlank="1" showInputMessage="1" showErrorMessage="1" sqref="E36:E39" xr:uid="{065B39B0-65A1-4A21-AD2D-267D9E2A99B2}">
      <formula1>$K$36:$K$39</formula1>
    </dataValidation>
    <dataValidation type="list" allowBlank="1" showInputMessage="1" showErrorMessage="1" sqref="M12:M13" xr:uid="{8E021A92-89F1-4894-803C-6CC8D1F3FFAA}">
      <formula1>$L$12:$L$13</formula1>
    </dataValidation>
    <dataValidation type="list" allowBlank="1" showInputMessage="1" showErrorMessage="1" sqref="M14:M15" xr:uid="{47987C1E-E787-410D-BD19-5E0B8F26B136}">
      <formula1>$L$14:$L$15</formula1>
    </dataValidation>
    <dataValidation type="list" allowBlank="1" showInputMessage="1" showErrorMessage="1" sqref="M16:M18" xr:uid="{58F8DE5D-C8CF-49D5-8B8D-20FEA42E62D2}">
      <formula1>$L$16:$L$18</formula1>
    </dataValidation>
    <dataValidation type="list" allowBlank="1" showInputMessage="1" showErrorMessage="1" sqref="M19:M20" xr:uid="{CCCFAF47-CC71-4AF6-96FC-C44B1286CB70}">
      <formula1>$L$19:$L$20</formula1>
    </dataValidation>
    <dataValidation type="list" allowBlank="1" showInputMessage="1" showErrorMessage="1" sqref="M21:M23" xr:uid="{DAF163A2-A705-4A19-A0FF-4098119895C2}">
      <formula1>$L$21:$L$23</formula1>
    </dataValidation>
    <dataValidation type="list" allowBlank="1" showInputMessage="1" showErrorMessage="1" sqref="M24:M25" xr:uid="{800635C4-6D62-4717-9DF3-3CA2C82F2422}">
      <formula1>$L$24:$L$25</formula1>
    </dataValidation>
    <dataValidation type="list" allowBlank="1" showInputMessage="1" showErrorMessage="1" sqref="M26:M27" xr:uid="{E36F4660-973E-4D3E-A8FD-FD3B01E259FA}">
      <formula1>$L$26:$L$27</formula1>
    </dataValidation>
    <dataValidation type="list" allowBlank="1" showInputMessage="1" showErrorMessage="1" sqref="M28:M29" xr:uid="{CE63D08D-9D93-4691-9B7B-DE93481FC827}">
      <formula1>$L$28:$L$29</formula1>
    </dataValidation>
    <dataValidation type="list" allowBlank="1" showInputMessage="1" showErrorMessage="1" sqref="M30:M32" xr:uid="{20B8E417-1605-4F12-9E99-BF246D9CE4D3}">
      <formula1>$L$30:$L$32</formula1>
    </dataValidation>
    <dataValidation type="list" allowBlank="1" showInputMessage="1" showErrorMessage="1" sqref="M33:M35" xr:uid="{D078D2D9-B133-42B1-B28B-D8C159C35964}">
      <formula1>$L$33:$L$35</formula1>
    </dataValidation>
    <dataValidation type="list" allowBlank="1" showInputMessage="1" showErrorMessage="1" sqref="M36:M39" xr:uid="{A92A7811-3AD1-4F47-8DF3-3D8191BB20A8}">
      <formula1>$L$36:$L$39</formula1>
    </dataValidation>
    <dataValidation type="list" allowBlank="1" showInputMessage="1" showErrorMessage="1" sqref="M43:M45" xr:uid="{D41F5D09-DA5A-4419-A2C4-E08B2ED41B0B}">
      <formula1>$L$43:$L$45</formula1>
    </dataValidation>
    <dataValidation type="list" allowBlank="1" showInputMessage="1" showErrorMessage="1" sqref="M46:M48" xr:uid="{7D8CEFF6-EDD5-4C93-9F45-7D3361C0F2E4}">
      <formula1>$L$46:$L$48</formula1>
    </dataValidation>
    <dataValidation type="list" allowBlank="1" showInputMessage="1" showErrorMessage="1" sqref="M49:M51" xr:uid="{5F3C26BF-5AD6-4450-95BD-D1A037D5FB74}">
      <formula1>$L$49:$L$51</formula1>
    </dataValidation>
    <dataValidation type="list" allowBlank="1" showInputMessage="1" showErrorMessage="1" sqref="M56:M58" xr:uid="{C16BF499-7977-40C8-AEB1-A93CFA1DE3A4}">
      <formula1>$L$56:$L$58</formula1>
    </dataValidation>
    <dataValidation type="list" allowBlank="1" showInputMessage="1" showErrorMessage="1" sqref="M62:M64" xr:uid="{9F566D28-21EA-4735-83D7-CE28E5979AA5}">
      <formula1>$L$62:$L$64</formula1>
    </dataValidation>
    <dataValidation type="list" allowBlank="1" showInputMessage="1" showErrorMessage="1" sqref="M65:M67" xr:uid="{BAC5F23A-8D32-4AC2-A5B0-3CFB1C507B6C}">
      <formula1>$L$65:$L$67</formula1>
    </dataValidation>
    <dataValidation type="list" allowBlank="1" showInputMessage="1" showErrorMessage="1" sqref="M68:M70" xr:uid="{8C31B777-5F68-4952-BA20-C9681089C344}">
      <formula1>$L$68:$L$70</formula1>
    </dataValidation>
    <dataValidation type="list" allowBlank="1" showInputMessage="1" showErrorMessage="1" sqref="M71:M73" xr:uid="{03948EBA-E8CF-499A-A38F-3151FA6AB901}">
      <formula1>$L$71:$L$73</formula1>
    </dataValidation>
    <dataValidation type="list" allowBlank="1" showInputMessage="1" showErrorMessage="1" sqref="M74:M76" xr:uid="{6B153B1C-58FD-4A4D-B3E0-D10E372170FF}">
      <formula1>$L$74:$L$76</formula1>
    </dataValidation>
    <dataValidation type="list" allowBlank="1" showInputMessage="1" showErrorMessage="1" sqref="M77:M79" xr:uid="{5A070CFB-65B7-4719-A2E9-BC16620977E2}">
      <formula1>$L$77:$L$79</formula1>
    </dataValidation>
    <dataValidation type="list" allowBlank="1" showInputMessage="1" showErrorMessage="1" sqref="M80:M82" xr:uid="{91FC23CB-4331-48A7-A1F4-336FC91AF323}">
      <formula1>$L$80:$L$82</formula1>
    </dataValidation>
    <dataValidation type="list" allowBlank="1" showInputMessage="1" showErrorMessage="1" sqref="M83:M85" xr:uid="{014ADEC9-C011-4234-B1C8-A57CA92DF8A9}">
      <formula1>$L$83:$L$85</formula1>
    </dataValidation>
    <dataValidation type="list" allowBlank="1" showInputMessage="1" showErrorMessage="1" sqref="M86:M88" xr:uid="{FDF04CEC-54A9-4758-ABAF-E24195E76490}">
      <formula1>$L$86:$L$88</formula1>
    </dataValidation>
    <dataValidation type="list" allowBlank="1" showInputMessage="1" showErrorMessage="1" sqref="E43:E45" xr:uid="{BEA0ECA2-75E1-426B-8EA9-1734B455B38C}">
      <formula1>$K$43:$K$45</formula1>
    </dataValidation>
    <dataValidation type="list" allowBlank="1" showInputMessage="1" showErrorMessage="1" sqref="E46:E48" xr:uid="{37E6F5D0-EC69-48DE-BFA4-BAE3ED7F4B1E}">
      <formula1>$K$46:$K$48</formula1>
    </dataValidation>
    <dataValidation type="list" allowBlank="1" showInputMessage="1" showErrorMessage="1" sqref="E49:E51" xr:uid="{3FBA112B-7177-4750-B9B8-333BF5ECE2C8}">
      <formula1>$K$49:$K$51</formula1>
    </dataValidation>
    <dataValidation type="list" allowBlank="1" showInputMessage="1" showErrorMessage="1" sqref="E56:E58" xr:uid="{E6DDB493-CA3D-4A61-822A-ABE4F62E2CC4}">
      <formula1>$K$56:$K$58</formula1>
    </dataValidation>
    <dataValidation type="list" allowBlank="1" showInputMessage="1" showErrorMessage="1" sqref="E62:E64" xr:uid="{25D426F5-B29C-4165-9187-0ADB4A2C41C5}">
      <formula1>$K$62:$K$64</formula1>
    </dataValidation>
    <dataValidation type="list" allowBlank="1" showInputMessage="1" showErrorMessage="1" sqref="E65:E67" xr:uid="{9FF16B40-EB99-4016-95CF-BE5A148C3EAE}">
      <formula1>$K$65:$K$67</formula1>
    </dataValidation>
    <dataValidation type="list" allowBlank="1" showInputMessage="1" showErrorMessage="1" sqref="E68:E70" xr:uid="{D69326E1-7D80-431C-92E6-A9A34C3901CD}">
      <formula1>$K$68:$K$70</formula1>
    </dataValidation>
    <dataValidation type="list" allowBlank="1" showInputMessage="1" showErrorMessage="1" sqref="E71:E73" xr:uid="{599BBA45-CE1C-4754-A861-E59C98A8B01B}">
      <formula1>$K$71:$K$73</formula1>
    </dataValidation>
    <dataValidation type="list" allowBlank="1" showInputMessage="1" showErrorMessage="1" sqref="E74:E76" xr:uid="{535BB62B-264B-4770-9DFF-AC2B90E023B2}">
      <formula1>$K$74:$K$76</formula1>
    </dataValidation>
    <dataValidation type="list" allowBlank="1" showInputMessage="1" showErrorMessage="1" sqref="E77:E79" xr:uid="{D0204A1C-4280-442E-9D48-8505EA4C748D}">
      <formula1>$K$77:$K$79</formula1>
    </dataValidation>
    <dataValidation type="list" allowBlank="1" showInputMessage="1" showErrorMessage="1" sqref="E80:E82" xr:uid="{C61C84F6-3813-4359-ABC4-245924C03B64}">
      <formula1>$K$80:$K$82</formula1>
    </dataValidation>
    <dataValidation type="list" allowBlank="1" showInputMessage="1" showErrorMessage="1" sqref="E83:E85" xr:uid="{1A6A9D05-9996-4BE3-A74A-86311AE8EDDE}">
      <formula1>$K$83:$K$85</formula1>
    </dataValidation>
    <dataValidation type="list" allowBlank="1" showInputMessage="1" showErrorMessage="1" sqref="E86:E88" xr:uid="{E1D2F799-284A-4D53-9F44-22225B7F0FB8}">
      <formula1>$K$86:$K$88</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B6394FE-28D5-46AA-9F15-D07FDF46FFBA}">
          <x14:formula1>
            <xm:f>'Response Guidlines'!$D$81:$D$87</xm:f>
          </x14:formula1>
          <xm:sqref>H12:H88</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EE9AB-B4A3-4672-B8D6-BB992CB5C5A7}">
  <sheetPr filterMode="1">
    <tabColor rgb="FF22A2A8"/>
    <pageSetUpPr fitToPage="1"/>
  </sheetPr>
  <dimension ref="A1:O131"/>
  <sheetViews>
    <sheetView topLeftCell="A15" zoomScale="115" zoomScaleNormal="115" workbookViewId="0">
      <selection activeCell="A63" sqref="A63:A68"/>
    </sheetView>
  </sheetViews>
  <sheetFormatPr defaultColWidth="9.26953125" defaultRowHeight="10.5" x14ac:dyDescent="0.25"/>
  <cols>
    <col min="1" max="1" width="3.26953125" style="19" bestFit="1" customWidth="1"/>
    <col min="2" max="2" width="11.453125" style="19" customWidth="1"/>
    <col min="3" max="3" width="46.26953125" style="18" customWidth="1"/>
    <col min="4" max="4" width="42.7265625" style="18" customWidth="1"/>
    <col min="5" max="6" width="19" style="18" hidden="1" customWidth="1"/>
    <col min="7" max="7" width="0.26953125" style="18" hidden="1" customWidth="1"/>
    <col min="8" max="8" width="11.26953125" style="18" bestFit="1" customWidth="1"/>
    <col min="9" max="9" width="7.54296875" style="18" customWidth="1"/>
    <col min="10" max="10" width="7.26953125" style="17" customWidth="1"/>
    <col min="11" max="11" width="32.453125" style="16" customWidth="1"/>
    <col min="12" max="12" width="5.26953125" style="15" customWidth="1"/>
    <col min="13" max="13" width="5.453125" style="13" customWidth="1"/>
    <col min="14" max="14" width="33" style="14" customWidth="1"/>
    <col min="15" max="15" width="39" style="13" customWidth="1"/>
    <col min="16" max="16384" width="9.26953125" style="13"/>
  </cols>
  <sheetData>
    <row r="1" spans="1:14" ht="11" hidden="1" thickBot="1" x14ac:dyDescent="0.3">
      <c r="C1" s="76"/>
      <c r="D1" s="76"/>
      <c r="E1" s="76"/>
      <c r="F1" s="76"/>
      <c r="G1" s="76"/>
      <c r="H1" s="76"/>
      <c r="I1" s="76"/>
    </row>
    <row r="2" spans="1:14" ht="16" hidden="1" thickBot="1" x14ac:dyDescent="0.4">
      <c r="C2" s="11" t="s">
        <v>51</v>
      </c>
      <c r="D2" s="12" t="str">
        <f>'Scoring Summary'!C2</f>
        <v>&lt;insert before tender publication&gt;</v>
      </c>
      <c r="E2" s="46"/>
      <c r="F2" s="390" t="s">
        <v>689</v>
      </c>
      <c r="G2" s="390"/>
      <c r="H2" s="390"/>
      <c r="I2" s="46"/>
      <c r="J2" s="46"/>
      <c r="K2" s="46"/>
      <c r="L2" s="46"/>
      <c r="M2" s="46"/>
      <c r="N2" s="46"/>
    </row>
    <row r="3" spans="1:14" ht="29" hidden="1" thickBot="1" x14ac:dyDescent="0.4">
      <c r="C3" s="11" t="s">
        <v>54</v>
      </c>
      <c r="D3" s="12" t="str">
        <f>'Scoring Summary'!C3</f>
        <v>IT00641 Dx Commercial Energy Trader (Dx CET)</v>
      </c>
      <c r="E3" s="46"/>
      <c r="F3" s="390"/>
      <c r="G3" s="390"/>
      <c r="H3" s="390"/>
      <c r="I3" s="46"/>
      <c r="J3" s="46"/>
      <c r="K3" s="46"/>
      <c r="L3" s="46"/>
      <c r="M3" s="46"/>
      <c r="N3" s="46"/>
    </row>
    <row r="4" spans="1:14" ht="16" hidden="1" thickBot="1" x14ac:dyDescent="0.4">
      <c r="C4" s="11" t="s">
        <v>55</v>
      </c>
      <c r="D4" s="12">
        <f>'Scoring Summary'!C4</f>
        <v>0.7</v>
      </c>
      <c r="E4" s="46"/>
      <c r="F4" s="390"/>
      <c r="G4" s="390"/>
      <c r="H4" s="390"/>
      <c r="I4" s="46"/>
      <c r="J4" s="46"/>
      <c r="K4" s="46"/>
      <c r="L4" s="46"/>
      <c r="M4" s="46"/>
      <c r="N4" s="46"/>
    </row>
    <row r="5" spans="1:14" ht="16" hidden="1" thickBot="1" x14ac:dyDescent="0.4">
      <c r="C5" s="11" t="s">
        <v>84</v>
      </c>
      <c r="D5" s="10" t="str">
        <f>'Scoring Summary'!C5</f>
        <v>&lt;Evaluator to complete&gt;</v>
      </c>
      <c r="E5" s="46"/>
      <c r="F5" s="75"/>
      <c r="G5" s="75"/>
      <c r="H5" s="75"/>
      <c r="I5" s="46"/>
      <c r="J5" s="46"/>
      <c r="K5" s="46"/>
      <c r="L5" s="46"/>
      <c r="M5" s="46"/>
      <c r="N5" s="46"/>
    </row>
    <row r="6" spans="1:14" ht="16" hidden="1" thickBot="1" x14ac:dyDescent="0.4">
      <c r="C6" s="11" t="s">
        <v>58</v>
      </c>
      <c r="D6" s="10" t="str">
        <f>'Scoring Summary'!C6</f>
        <v>&lt;Evaluator to complete&gt;</v>
      </c>
      <c r="E6" s="46"/>
      <c r="F6" s="46"/>
      <c r="G6" s="46"/>
      <c r="H6" s="46"/>
      <c r="I6" s="46"/>
      <c r="J6" s="46"/>
      <c r="K6" s="46"/>
      <c r="L6" s="46"/>
      <c r="M6" s="46"/>
      <c r="N6" s="46"/>
    </row>
    <row r="7" spans="1:14" ht="16" hidden="1" thickBot="1" x14ac:dyDescent="0.4">
      <c r="C7" s="11" t="s">
        <v>59</v>
      </c>
      <c r="D7" s="10" t="str">
        <f>'Scoring Summary'!C7</f>
        <v>&lt;Evaluator to complete&gt;</v>
      </c>
      <c r="E7" s="46"/>
      <c r="F7" s="46"/>
      <c r="G7" s="46"/>
      <c r="H7" s="46"/>
      <c r="I7" s="46"/>
      <c r="J7" s="46"/>
      <c r="K7" s="46"/>
      <c r="L7" s="46"/>
      <c r="M7" s="46"/>
      <c r="N7" s="46"/>
    </row>
    <row r="8" spans="1:14" ht="16" hidden="1" thickBot="1" x14ac:dyDescent="0.4">
      <c r="C8" s="11" t="s">
        <v>60</v>
      </c>
      <c r="D8" s="10"/>
      <c r="E8" s="46"/>
      <c r="F8" s="46"/>
      <c r="G8" s="46"/>
      <c r="H8" s="46"/>
      <c r="I8" s="46"/>
      <c r="J8" s="46"/>
      <c r="K8" s="46"/>
      <c r="L8" s="46"/>
      <c r="M8" s="46"/>
      <c r="N8" s="46"/>
    </row>
    <row r="9" spans="1:14" ht="11" hidden="1" thickBot="1" x14ac:dyDescent="0.3"/>
    <row r="10" spans="1:14" ht="11" hidden="1" thickBot="1" x14ac:dyDescent="0.3"/>
    <row r="11" spans="1:14" ht="11" hidden="1" thickBot="1" x14ac:dyDescent="0.3">
      <c r="C11" s="30"/>
      <c r="D11" s="30"/>
      <c r="E11" s="30"/>
      <c r="F11" s="30"/>
      <c r="G11" s="30"/>
      <c r="H11" s="30"/>
      <c r="I11" s="30"/>
    </row>
    <row r="12" spans="1:14" ht="11" hidden="1" thickBot="1" x14ac:dyDescent="0.3"/>
    <row r="13" spans="1:14" ht="11" hidden="1" thickBot="1" x14ac:dyDescent="0.3">
      <c r="C13" s="30"/>
      <c r="D13" s="30"/>
      <c r="E13" s="30"/>
      <c r="F13" s="30"/>
      <c r="G13" s="30"/>
      <c r="H13" s="30"/>
      <c r="I13" s="30"/>
    </row>
    <row r="14" spans="1:14" ht="11" hidden="1" thickBot="1" x14ac:dyDescent="0.3">
      <c r="C14" s="30"/>
      <c r="D14" s="30"/>
      <c r="E14" s="30"/>
      <c r="F14" s="30"/>
      <c r="G14" s="30"/>
      <c r="H14" s="30"/>
      <c r="I14" s="30"/>
    </row>
    <row r="15" spans="1:14" ht="15" customHeight="1" x14ac:dyDescent="0.2">
      <c r="A15" s="500" t="s">
        <v>85</v>
      </c>
      <c r="B15" s="502" t="s">
        <v>86</v>
      </c>
      <c r="C15" s="503"/>
      <c r="D15" s="528"/>
      <c r="E15" s="504" t="s">
        <v>87</v>
      </c>
      <c r="F15" s="505"/>
      <c r="G15" s="506"/>
      <c r="H15" s="74"/>
      <c r="I15" s="74"/>
      <c r="J15" s="73" t="s">
        <v>88</v>
      </c>
      <c r="K15" s="72"/>
      <c r="L15" s="72"/>
      <c r="M15" s="72"/>
      <c r="N15" s="71"/>
    </row>
    <row r="16" spans="1:14" s="49" customFormat="1" ht="42" hidden="1" customHeight="1" x14ac:dyDescent="0.35">
      <c r="A16" s="675"/>
      <c r="B16" s="103" t="s">
        <v>168</v>
      </c>
      <c r="C16" s="103" t="s">
        <v>89</v>
      </c>
      <c r="D16" s="69" t="s">
        <v>62</v>
      </c>
      <c r="E16" s="104" t="s">
        <v>90</v>
      </c>
      <c r="F16" s="105" t="s">
        <v>64</v>
      </c>
      <c r="G16" s="106" t="s">
        <v>218</v>
      </c>
      <c r="H16" s="80" t="s">
        <v>92</v>
      </c>
      <c r="I16" s="107" t="s">
        <v>93</v>
      </c>
      <c r="J16" s="108" t="s">
        <v>94</v>
      </c>
      <c r="K16" s="140" t="s">
        <v>95</v>
      </c>
      <c r="L16" s="141" t="s">
        <v>96</v>
      </c>
      <c r="M16" s="142" t="s">
        <v>67</v>
      </c>
      <c r="N16" s="143" t="s">
        <v>68</v>
      </c>
    </row>
    <row r="17" spans="1:15" s="137" customFormat="1" hidden="1" x14ac:dyDescent="0.35">
      <c r="A17" s="669" t="s">
        <v>690</v>
      </c>
      <c r="B17" s="747" t="s">
        <v>691</v>
      </c>
      <c r="C17" s="412" t="s">
        <v>692</v>
      </c>
      <c r="D17" s="650" t="s">
        <v>693</v>
      </c>
      <c r="E17" s="769"/>
      <c r="F17" s="652" t="s">
        <v>221</v>
      </c>
      <c r="G17" s="599"/>
      <c r="H17" s="521" t="s">
        <v>27</v>
      </c>
      <c r="I17" s="418">
        <f>IF(H17='Response Guidlines'!$D$81,'Response Guidlines'!$C$81, IF(H17='Response Guidlines'!$D$82,'Response Guidlines'!$C$82,IF(H17='Response Guidlines'!$D$83,'Response Guidlines'!$C$83,IF(H17='Response Guidlines'!$D$84,'Response Guidlines'!$C$84,IF(H17='Response Guidlines'!$D$85,'Response Guidlines'!$C$85,IF(H17='Response Guidlines'!$D$86,'Response Guidlines'!$C$86,IF(H17='Response Guidlines'!$D$87,'Response Guidlines'!$C$87,"No Rating")))))))</f>
        <v>4</v>
      </c>
      <c r="J17" s="401">
        <f>(I17/$I$131)/_xlfn.XLOOKUP('Scoring Summary'!$D$24,'Response Guidlines'!$D$92:$D$191,'Response Guidlines'!$C$92:$C$191,"",0,1)</f>
        <v>2.7586206896551449E-3</v>
      </c>
      <c r="K17" s="52" t="s">
        <v>694</v>
      </c>
      <c r="L17" s="138">
        <f>J17</f>
        <v>2.7586206896551449E-3</v>
      </c>
      <c r="M17" s="745"/>
      <c r="N17" s="765"/>
      <c r="O17" s="768"/>
    </row>
    <row r="18" spans="1:15" s="137" customFormat="1" ht="102.75" hidden="1" customHeight="1" x14ac:dyDescent="0.35">
      <c r="A18" s="669"/>
      <c r="B18" s="749"/>
      <c r="C18" s="412"/>
      <c r="D18" s="650"/>
      <c r="E18" s="769"/>
      <c r="F18" s="613"/>
      <c r="G18" s="599"/>
      <c r="H18" s="521"/>
      <c r="I18" s="418"/>
      <c r="J18" s="401"/>
      <c r="K18" s="52" t="s">
        <v>695</v>
      </c>
      <c r="L18" s="138">
        <v>0</v>
      </c>
      <c r="M18" s="745"/>
      <c r="N18" s="765"/>
      <c r="O18" s="768"/>
    </row>
    <row r="19" spans="1:15" s="135" customFormat="1" hidden="1" x14ac:dyDescent="0.35">
      <c r="A19" s="669" t="s">
        <v>696</v>
      </c>
      <c r="B19" s="747" t="s">
        <v>697</v>
      </c>
      <c r="C19" s="412" t="s">
        <v>698</v>
      </c>
      <c r="D19" s="409" t="s">
        <v>882</v>
      </c>
      <c r="E19" s="657"/>
      <c r="F19" s="613"/>
      <c r="G19" s="599"/>
      <c r="H19" s="521" t="s">
        <v>27</v>
      </c>
      <c r="I19" s="418">
        <f>IF(H19='Response Guidlines'!$D$81,'Response Guidlines'!$C$81, IF(H19='Response Guidlines'!$D$82,'Response Guidlines'!$C$82,IF(H19='Response Guidlines'!$D$83,'Response Guidlines'!$C$83,IF(H19='Response Guidlines'!$D$84,'Response Guidlines'!$C$84,IF(H19='Response Guidlines'!$D$85,'Response Guidlines'!$C$85,IF(H19='Response Guidlines'!$D$86,'Response Guidlines'!$C$86,IF(H19='Response Guidlines'!$D$87,'Response Guidlines'!$C$87,"No Rating")))))))</f>
        <v>4</v>
      </c>
      <c r="J19" s="401">
        <f>(I19/$I$131)/_xlfn.XLOOKUP('Scoring Summary'!$D$24,'Response Guidlines'!$D$92:$D$191,'Response Guidlines'!$C$92:$C$191,"",0,1)</f>
        <v>2.7586206896551449E-3</v>
      </c>
      <c r="K19" s="52" t="s">
        <v>700</v>
      </c>
      <c r="L19" s="138">
        <f t="shared" ref="L19" si="0">J19</f>
        <v>2.7586206896551449E-3</v>
      </c>
      <c r="M19" s="745"/>
      <c r="N19" s="765"/>
      <c r="O19" s="768" t="s">
        <v>701</v>
      </c>
    </row>
    <row r="20" spans="1:15" s="135" customFormat="1" ht="72.75" hidden="1" customHeight="1" x14ac:dyDescent="0.35">
      <c r="A20" s="669"/>
      <c r="B20" s="749"/>
      <c r="C20" s="412"/>
      <c r="D20" s="409"/>
      <c r="E20" s="657"/>
      <c r="F20" s="613"/>
      <c r="G20" s="599"/>
      <c r="H20" s="521"/>
      <c r="I20" s="418"/>
      <c r="J20" s="401"/>
      <c r="K20" s="52" t="s">
        <v>702</v>
      </c>
      <c r="L20" s="138">
        <v>0</v>
      </c>
      <c r="M20" s="745"/>
      <c r="N20" s="765"/>
      <c r="O20" s="768"/>
    </row>
    <row r="21" spans="1:15" s="135" customFormat="1" ht="10" x14ac:dyDescent="0.35">
      <c r="A21" s="751" t="s">
        <v>883</v>
      </c>
      <c r="B21" s="747" t="s">
        <v>884</v>
      </c>
      <c r="C21" s="659" t="s">
        <v>885</v>
      </c>
      <c r="D21" s="409" t="s">
        <v>886</v>
      </c>
      <c r="E21" s="407"/>
      <c r="F21" s="412"/>
      <c r="G21" s="409"/>
      <c r="H21" s="521" t="s">
        <v>27</v>
      </c>
      <c r="I21" s="418">
        <f>IF(H21='Response Guidlines'!$D$81,'Response Guidlines'!$C$81, IF(H21='Response Guidlines'!$D$82,'Response Guidlines'!$C$82,IF(H21='Response Guidlines'!$D$83,'Response Guidlines'!$C$83,IF(H21='Response Guidlines'!$D$84,'Response Guidlines'!$C$84,IF(H21='Response Guidlines'!$D$85,'Response Guidlines'!$C$85,IF(H21='Response Guidlines'!$D$86,'Response Guidlines'!$C$86,IF(H21='Response Guidlines'!$D$87,'Response Guidlines'!$C$87,"No Rating")))))))</f>
        <v>4</v>
      </c>
      <c r="J21" s="401">
        <f>(I21/$I$131)/_xlfn.XLOOKUP('Scoring Summary'!$D$24,'Response Guidlines'!$D$92:$D$191,'Response Guidlines'!$C$92:$C$191,"",0,1)</f>
        <v>2.7586206896551449E-3</v>
      </c>
      <c r="K21" s="271" t="s">
        <v>887</v>
      </c>
      <c r="L21" s="138">
        <f t="shared" ref="L21" si="1">J21</f>
        <v>2.7586206896551449E-3</v>
      </c>
      <c r="M21" s="745"/>
      <c r="N21" s="765"/>
      <c r="O21" s="767"/>
    </row>
    <row r="22" spans="1:15" s="135" customFormat="1" ht="10" x14ac:dyDescent="0.35">
      <c r="A22" s="751"/>
      <c r="B22" s="748"/>
      <c r="C22" s="659"/>
      <c r="D22" s="409"/>
      <c r="E22" s="407"/>
      <c r="F22" s="412"/>
      <c r="G22" s="409"/>
      <c r="H22" s="521"/>
      <c r="I22" s="418"/>
      <c r="J22" s="401"/>
      <c r="K22" s="271"/>
      <c r="L22" s="138">
        <f t="shared" ref="L22" si="2">L21*0.75</f>
        <v>2.0689655172413586E-3</v>
      </c>
      <c r="M22" s="745"/>
      <c r="N22" s="765"/>
      <c r="O22" s="767"/>
    </row>
    <row r="23" spans="1:15" s="135" customFormat="1" ht="10" x14ac:dyDescent="0.35">
      <c r="A23" s="751"/>
      <c r="B23" s="748"/>
      <c r="C23" s="659"/>
      <c r="D23" s="409"/>
      <c r="E23" s="407"/>
      <c r="F23" s="412"/>
      <c r="G23" s="409"/>
      <c r="H23" s="521"/>
      <c r="I23" s="418"/>
      <c r="J23" s="401"/>
      <c r="K23" s="271"/>
      <c r="L23" s="138">
        <f t="shared" ref="L23" si="3">L21*0.5</f>
        <v>1.3793103448275724E-3</v>
      </c>
      <c r="M23" s="745"/>
      <c r="N23" s="765"/>
      <c r="O23" s="767"/>
    </row>
    <row r="24" spans="1:15" s="135" customFormat="1" ht="10" x14ac:dyDescent="0.35">
      <c r="A24" s="751"/>
      <c r="B24" s="748"/>
      <c r="C24" s="659"/>
      <c r="D24" s="409"/>
      <c r="E24" s="407"/>
      <c r="F24" s="412"/>
      <c r="G24" s="409"/>
      <c r="H24" s="521"/>
      <c r="I24" s="418"/>
      <c r="J24" s="401"/>
      <c r="K24" s="271"/>
      <c r="L24" s="138">
        <f t="shared" ref="L24" si="4">L21*0.25</f>
        <v>6.8965517241378622E-4</v>
      </c>
      <c r="M24" s="745"/>
      <c r="N24" s="765"/>
      <c r="O24" s="767"/>
    </row>
    <row r="25" spans="1:15" s="135" customFormat="1" ht="10" x14ac:dyDescent="0.35">
      <c r="A25" s="751"/>
      <c r="B25" s="749"/>
      <c r="C25" s="659"/>
      <c r="D25" s="409"/>
      <c r="E25" s="407"/>
      <c r="F25" s="412"/>
      <c r="G25" s="409"/>
      <c r="H25" s="521"/>
      <c r="I25" s="418"/>
      <c r="J25" s="401"/>
      <c r="K25" s="271"/>
      <c r="L25" s="138">
        <v>0</v>
      </c>
      <c r="M25" s="745"/>
      <c r="N25" s="765"/>
      <c r="O25" s="767"/>
    </row>
    <row r="26" spans="1:15" s="135" customFormat="1" ht="50.5" hidden="1" x14ac:dyDescent="0.2">
      <c r="A26" s="669" t="s">
        <v>703</v>
      </c>
      <c r="B26" s="747" t="s">
        <v>704</v>
      </c>
      <c r="C26" s="412" t="s">
        <v>705</v>
      </c>
      <c r="D26" s="409" t="s">
        <v>888</v>
      </c>
      <c r="E26" s="411"/>
      <c r="F26" s="412"/>
      <c r="G26" s="409"/>
      <c r="H26" s="521" t="s">
        <v>26</v>
      </c>
      <c r="I26" s="418">
        <f>IF(H26='Response Guidlines'!$D$81,'Response Guidlines'!$C$81, IF(H26='Response Guidlines'!$D$82,'Response Guidlines'!$C$82,IF(H26='Response Guidlines'!$D$83,'Response Guidlines'!$C$83,IF(H26='Response Guidlines'!$D$84,'Response Guidlines'!$C$84,IF(H26='Response Guidlines'!$D$85,'Response Guidlines'!$C$85,IF(H26='Response Guidlines'!$D$86,'Response Guidlines'!$C$86,IF(H26='Response Guidlines'!$D$87,'Response Guidlines'!$C$87,"No Rating")))))))</f>
        <v>3</v>
      </c>
      <c r="J26" s="401">
        <f>(I26/$I$131)/_xlfn.XLOOKUP('Scoring Summary'!$D$24,'Response Guidlines'!$D$92:$D$191,'Response Guidlines'!$C$92:$C$191,"",0,1)</f>
        <v>2.0689655172413586E-3</v>
      </c>
      <c r="K26" s="279" t="s">
        <v>889</v>
      </c>
      <c r="L26" s="138">
        <f t="shared" ref="L26" si="5">J26</f>
        <v>2.0689655172413586E-3</v>
      </c>
      <c r="M26" s="745"/>
      <c r="N26" s="765"/>
      <c r="O26" s="766"/>
    </row>
    <row r="27" spans="1:15" s="135" customFormat="1" ht="50.5" hidden="1" x14ac:dyDescent="0.35">
      <c r="A27" s="669"/>
      <c r="B27" s="748"/>
      <c r="C27" s="412"/>
      <c r="D27" s="409"/>
      <c r="E27" s="407"/>
      <c r="F27" s="412"/>
      <c r="G27" s="409"/>
      <c r="H27" s="521"/>
      <c r="I27" s="418"/>
      <c r="J27" s="401"/>
      <c r="K27" s="52" t="s">
        <v>890</v>
      </c>
      <c r="L27" s="138">
        <f>L26*0.5</f>
        <v>1.0344827586206793E-3</v>
      </c>
      <c r="M27" s="745"/>
      <c r="N27" s="765"/>
      <c r="O27" s="766"/>
    </row>
    <row r="28" spans="1:15" s="135" customFormat="1" ht="51.75" hidden="1" customHeight="1" x14ac:dyDescent="0.35">
      <c r="A28" s="669"/>
      <c r="B28" s="749"/>
      <c r="C28" s="412"/>
      <c r="D28" s="409"/>
      <c r="E28" s="407"/>
      <c r="F28" s="412"/>
      <c r="G28" s="409"/>
      <c r="H28" s="521"/>
      <c r="I28" s="418"/>
      <c r="J28" s="401"/>
      <c r="K28" s="52" t="s">
        <v>891</v>
      </c>
      <c r="L28" s="138">
        <v>0</v>
      </c>
      <c r="M28" s="745"/>
      <c r="N28" s="765"/>
      <c r="O28" s="766"/>
    </row>
    <row r="29" spans="1:15" s="135" customFormat="1" ht="30" hidden="1" x14ac:dyDescent="0.35">
      <c r="A29" s="669" t="s">
        <v>710</v>
      </c>
      <c r="B29" s="747" t="s">
        <v>704</v>
      </c>
      <c r="C29" s="412" t="s">
        <v>892</v>
      </c>
      <c r="D29" s="650" t="s">
        <v>712</v>
      </c>
      <c r="E29" s="407"/>
      <c r="F29" s="412"/>
      <c r="G29" s="409"/>
      <c r="H29" s="521" t="s">
        <v>27</v>
      </c>
      <c r="I29" s="418">
        <f>IF(H29='Response Guidlines'!$D$81,'Response Guidlines'!$C$81, IF(H29='Response Guidlines'!$D$82,'Response Guidlines'!$C$82,IF(H29='Response Guidlines'!$D$83,'Response Guidlines'!$C$83,IF(H29='Response Guidlines'!$D$84,'Response Guidlines'!$C$84,IF(H29='Response Guidlines'!$D$85,'Response Guidlines'!$C$85,IF(H29='Response Guidlines'!$D$86,'Response Guidlines'!$C$86,IF(H29='Response Guidlines'!$D$87,'Response Guidlines'!$C$87,"No Rating")))))))</f>
        <v>4</v>
      </c>
      <c r="J29" s="401">
        <f>(I29/$I$131)/_xlfn.XLOOKUP('Scoring Summary'!$D$24,'Response Guidlines'!$D$92:$D$191,'Response Guidlines'!$C$92:$C$191,"",0,1)</f>
        <v>2.7586206896551449E-3</v>
      </c>
      <c r="K29" s="52" t="s">
        <v>713</v>
      </c>
      <c r="L29" s="138">
        <f t="shared" ref="L29" si="6">J29</f>
        <v>2.7586206896551449E-3</v>
      </c>
      <c r="M29" s="745"/>
      <c r="N29" s="765"/>
      <c r="O29" s="757"/>
    </row>
    <row r="30" spans="1:15" s="135" customFormat="1" ht="95.25" hidden="1" customHeight="1" x14ac:dyDescent="0.35">
      <c r="A30" s="669"/>
      <c r="B30" s="749"/>
      <c r="C30" s="412"/>
      <c r="D30" s="650"/>
      <c r="E30" s="407"/>
      <c r="F30" s="412"/>
      <c r="G30" s="409"/>
      <c r="H30" s="521"/>
      <c r="I30" s="418"/>
      <c r="J30" s="401"/>
      <c r="K30" s="52" t="s">
        <v>714</v>
      </c>
      <c r="L30" s="138">
        <v>0</v>
      </c>
      <c r="M30" s="745"/>
      <c r="N30" s="765"/>
      <c r="O30" s="757"/>
    </row>
    <row r="31" spans="1:15" s="135" customFormat="1" ht="78.75" hidden="1" customHeight="1" x14ac:dyDescent="0.35">
      <c r="A31" s="669" t="s">
        <v>715</v>
      </c>
      <c r="B31" s="747" t="s">
        <v>704</v>
      </c>
      <c r="C31" s="412" t="s">
        <v>893</v>
      </c>
      <c r="D31" s="679" t="s">
        <v>894</v>
      </c>
      <c r="E31" s="407"/>
      <c r="F31" s="412"/>
      <c r="G31" s="409"/>
      <c r="H31" s="521" t="s">
        <v>27</v>
      </c>
      <c r="I31" s="418">
        <f>IF(H31='Response Guidlines'!$D$81,'Response Guidlines'!$C$81, IF(H31='Response Guidlines'!$D$82,'Response Guidlines'!$C$82,IF(H31='Response Guidlines'!$D$83,'Response Guidlines'!$C$83,IF(H31='Response Guidlines'!$D$84,'Response Guidlines'!$C$84,IF(H31='Response Guidlines'!$D$85,'Response Guidlines'!$C$85,IF(H31='Response Guidlines'!$D$86,'Response Guidlines'!$C$86,IF(H31='Response Guidlines'!$D$87,'Response Guidlines'!$C$87,"No Rating")))))))</f>
        <v>4</v>
      </c>
      <c r="J31" s="401">
        <f>(I31/$I$131)/_xlfn.XLOOKUP('Scoring Summary'!$D$24,'Response Guidlines'!$D$92:$D$191,'Response Guidlines'!$C$92:$C$191,"",0,1)</f>
        <v>2.7586206896551449E-3</v>
      </c>
      <c r="K31" s="283" t="s">
        <v>895</v>
      </c>
      <c r="L31" s="138">
        <f t="shared" ref="L31" si="7">J31</f>
        <v>2.7586206896551449E-3</v>
      </c>
      <c r="M31" s="745"/>
      <c r="N31" s="765"/>
      <c r="O31" s="757"/>
    </row>
    <row r="32" spans="1:15" s="135" customFormat="1" ht="80.25" hidden="1" customHeight="1" x14ac:dyDescent="0.35">
      <c r="A32" s="669"/>
      <c r="B32" s="748"/>
      <c r="C32" s="412"/>
      <c r="D32" s="650"/>
      <c r="E32" s="407"/>
      <c r="F32" s="412"/>
      <c r="G32" s="409"/>
      <c r="H32" s="521"/>
      <c r="I32" s="418"/>
      <c r="J32" s="401"/>
      <c r="K32" s="283" t="s">
        <v>896</v>
      </c>
      <c r="L32" s="138">
        <f>L31*0.5</f>
        <v>1.3793103448275724E-3</v>
      </c>
      <c r="M32" s="745"/>
      <c r="N32" s="765"/>
      <c r="O32" s="757"/>
    </row>
    <row r="33" spans="1:15" s="135" customFormat="1" ht="42" hidden="1" customHeight="1" x14ac:dyDescent="0.35">
      <c r="A33" s="669"/>
      <c r="B33" s="749"/>
      <c r="C33" s="412"/>
      <c r="D33" s="650"/>
      <c r="E33" s="407"/>
      <c r="F33" s="412"/>
      <c r="G33" s="409"/>
      <c r="H33" s="521"/>
      <c r="I33" s="418"/>
      <c r="J33" s="401"/>
      <c r="K33" s="283" t="s">
        <v>720</v>
      </c>
      <c r="L33" s="138">
        <v>0</v>
      </c>
      <c r="M33" s="745"/>
      <c r="N33" s="765"/>
      <c r="O33" s="757"/>
    </row>
    <row r="34" spans="1:15" s="135" customFormat="1" ht="50.25" hidden="1" customHeight="1" x14ac:dyDescent="0.35">
      <c r="A34" s="669" t="s">
        <v>721</v>
      </c>
      <c r="B34" s="747" t="s">
        <v>722</v>
      </c>
      <c r="C34" s="412" t="s">
        <v>723</v>
      </c>
      <c r="D34" s="679" t="s">
        <v>724</v>
      </c>
      <c r="E34" s="407"/>
      <c r="F34" s="412"/>
      <c r="G34" s="409"/>
      <c r="H34" s="521" t="s">
        <v>27</v>
      </c>
      <c r="I34" s="418">
        <f>IF(H34='Response Guidlines'!$D$81,'Response Guidlines'!$C$81, IF(H34='Response Guidlines'!$D$82,'Response Guidlines'!$C$82,IF(H34='Response Guidlines'!$D$83,'Response Guidlines'!$C$83,IF(H34='Response Guidlines'!$D$84,'Response Guidlines'!$C$84,IF(H34='Response Guidlines'!$D$85,'Response Guidlines'!$C$85,IF(H34='Response Guidlines'!$D$86,'Response Guidlines'!$C$86,IF(H34='Response Guidlines'!$D$87,'Response Guidlines'!$C$87,"No Rating")))))))</f>
        <v>4</v>
      </c>
      <c r="J34" s="401">
        <f>(I34/$I$131)/_xlfn.XLOOKUP('Scoring Summary'!$D$24,'Response Guidlines'!$D$92:$D$191,'Response Guidlines'!$C$92:$C$191,"",0,1)</f>
        <v>2.7586206896551449E-3</v>
      </c>
      <c r="K34" s="283" t="s">
        <v>725</v>
      </c>
      <c r="L34" s="138">
        <f t="shared" ref="L34" si="8">J34</f>
        <v>2.7586206896551449E-3</v>
      </c>
      <c r="M34" s="745"/>
      <c r="N34" s="765"/>
      <c r="O34" s="757"/>
    </row>
    <row r="35" spans="1:15" s="135" customFormat="1" ht="59.25" hidden="1" customHeight="1" x14ac:dyDescent="0.35">
      <c r="A35" s="669"/>
      <c r="B35" s="748"/>
      <c r="C35" s="412"/>
      <c r="D35" s="679"/>
      <c r="E35" s="407"/>
      <c r="F35" s="412"/>
      <c r="G35" s="409"/>
      <c r="H35" s="521"/>
      <c r="I35" s="418"/>
      <c r="J35" s="401"/>
      <c r="K35" s="52" t="s">
        <v>726</v>
      </c>
      <c r="L35" s="138">
        <f>J34/2</f>
        <v>1.3793103448275724E-3</v>
      </c>
      <c r="M35" s="745"/>
      <c r="N35" s="765"/>
      <c r="O35" s="757"/>
    </row>
    <row r="36" spans="1:15" s="135" customFormat="1" ht="20" hidden="1" x14ac:dyDescent="0.35">
      <c r="A36" s="669"/>
      <c r="B36" s="748"/>
      <c r="C36" s="412"/>
      <c r="D36" s="650"/>
      <c r="E36" s="407"/>
      <c r="F36" s="412"/>
      <c r="G36" s="409"/>
      <c r="H36" s="521"/>
      <c r="I36" s="418"/>
      <c r="J36" s="401"/>
      <c r="K36" s="52" t="s">
        <v>897</v>
      </c>
      <c r="L36" s="138">
        <f>J34/2</f>
        <v>1.3793103448275724E-3</v>
      </c>
      <c r="M36" s="745"/>
      <c r="N36" s="765"/>
      <c r="O36" s="746"/>
    </row>
    <row r="37" spans="1:15" s="135" customFormat="1" ht="30" hidden="1" x14ac:dyDescent="0.2">
      <c r="A37" s="669" t="s">
        <v>727</v>
      </c>
      <c r="B37" s="747" t="s">
        <v>722</v>
      </c>
      <c r="C37" s="412" t="s">
        <v>728</v>
      </c>
      <c r="D37" s="679" t="s">
        <v>729</v>
      </c>
      <c r="E37" s="407"/>
      <c r="F37" s="412"/>
      <c r="G37" s="409"/>
      <c r="H37" s="521" t="s">
        <v>27</v>
      </c>
      <c r="I37" s="418">
        <f>IF(H37='Response Guidlines'!$D$81,'Response Guidlines'!$C$81, IF(H37='Response Guidlines'!$D$82,'Response Guidlines'!$C$82,IF(H37='Response Guidlines'!$D$83,'Response Guidlines'!$C$83,IF(H37='Response Guidlines'!$D$84,'Response Guidlines'!$C$84,IF(H37='Response Guidlines'!$D$85,'Response Guidlines'!$C$85,IF(H37='Response Guidlines'!$D$86,'Response Guidlines'!$C$86,IF(H37='Response Guidlines'!$D$87,'Response Guidlines'!$C$87,"No Rating")))))))</f>
        <v>4</v>
      </c>
      <c r="J37" s="401">
        <f>(I37/$I$131)/_xlfn.XLOOKUP('Scoring Summary'!$D$24,'Response Guidlines'!$D$92:$D$191,'Response Guidlines'!$C$92:$C$191,"",0,1)</f>
        <v>2.7586206896551449E-3</v>
      </c>
      <c r="K37" s="279" t="s">
        <v>898</v>
      </c>
      <c r="L37" s="138">
        <f t="shared" ref="L37" si="9">J37</f>
        <v>2.7586206896551449E-3</v>
      </c>
      <c r="M37" s="745"/>
      <c r="N37" s="765"/>
      <c r="O37" s="757"/>
    </row>
    <row r="38" spans="1:15" s="135" customFormat="1" ht="117" hidden="1" customHeight="1" x14ac:dyDescent="0.35">
      <c r="A38" s="669"/>
      <c r="B38" s="749"/>
      <c r="C38" s="412"/>
      <c r="D38" s="650"/>
      <c r="E38" s="407"/>
      <c r="F38" s="412"/>
      <c r="G38" s="409"/>
      <c r="H38" s="521"/>
      <c r="I38" s="418"/>
      <c r="J38" s="401"/>
      <c r="K38" s="52" t="s">
        <v>899</v>
      </c>
      <c r="L38" s="138">
        <v>0</v>
      </c>
      <c r="M38" s="745"/>
      <c r="N38" s="765"/>
      <c r="O38" s="746"/>
    </row>
    <row r="39" spans="1:15" s="135" customFormat="1" ht="30" hidden="1" x14ac:dyDescent="0.35">
      <c r="A39" s="669" t="s">
        <v>732</v>
      </c>
      <c r="B39" s="747" t="s">
        <v>733</v>
      </c>
      <c r="C39" s="412" t="s">
        <v>900</v>
      </c>
      <c r="D39" s="679" t="s">
        <v>735</v>
      </c>
      <c r="E39" s="407"/>
      <c r="F39" s="412"/>
      <c r="G39" s="409"/>
      <c r="H39" s="521" t="s">
        <v>29</v>
      </c>
      <c r="I39" s="418">
        <f>IF(H39='Response Guidlines'!$D$81,'Response Guidlines'!$C$81, IF(H39='Response Guidlines'!$D$82,'Response Guidlines'!$C$82,IF(H39='Response Guidlines'!$D$83,'Response Guidlines'!$C$83,IF(H39='Response Guidlines'!$D$84,'Response Guidlines'!$C$84,IF(H39='Response Guidlines'!$D$85,'Response Guidlines'!$C$85,IF(H39='Response Guidlines'!$D$86,'Response Guidlines'!$C$86,IF(H39='Response Guidlines'!$D$87,'Response Guidlines'!$C$87,"No Rating")))))))</f>
        <v>6</v>
      </c>
      <c r="J39" s="401">
        <f>(I39/$I$131)/_xlfn.XLOOKUP('Scoring Summary'!$D$24,'Response Guidlines'!$D$92:$D$191,'Response Guidlines'!$C$92:$C$191,"",0,1)</f>
        <v>4.1379310344827171E-3</v>
      </c>
      <c r="K39" s="283" t="s">
        <v>736</v>
      </c>
      <c r="L39" s="138">
        <f t="shared" ref="L39" si="10">J39</f>
        <v>4.1379310344827171E-3</v>
      </c>
      <c r="M39" s="745"/>
      <c r="N39" s="765"/>
      <c r="O39" s="757"/>
    </row>
    <row r="40" spans="1:15" s="135" customFormat="1" ht="137.25" hidden="1" customHeight="1" x14ac:dyDescent="0.35">
      <c r="A40" s="669"/>
      <c r="B40" s="749"/>
      <c r="C40" s="412"/>
      <c r="D40" s="650"/>
      <c r="E40" s="407"/>
      <c r="F40" s="412"/>
      <c r="G40" s="409"/>
      <c r="H40" s="521"/>
      <c r="I40" s="418"/>
      <c r="J40" s="401"/>
      <c r="K40" s="283" t="s">
        <v>737</v>
      </c>
      <c r="L40" s="138">
        <v>0</v>
      </c>
      <c r="M40" s="745"/>
      <c r="N40" s="765"/>
      <c r="O40" s="746"/>
    </row>
    <row r="41" spans="1:15" s="135" customFormat="1" ht="30" hidden="1" x14ac:dyDescent="0.2">
      <c r="A41" s="669" t="s">
        <v>738</v>
      </c>
      <c r="B41" s="747" t="s">
        <v>733</v>
      </c>
      <c r="C41" s="412" t="s">
        <v>739</v>
      </c>
      <c r="D41" s="679" t="s">
        <v>740</v>
      </c>
      <c r="E41" s="407"/>
      <c r="F41" s="412"/>
      <c r="G41" s="409"/>
      <c r="H41" s="521" t="s">
        <v>27</v>
      </c>
      <c r="I41" s="418">
        <f>IF(H41='Response Guidlines'!$D$81,'Response Guidlines'!$C$81, IF(H41='Response Guidlines'!$D$82,'Response Guidlines'!$C$82,IF(H41='Response Guidlines'!$D$83,'Response Guidlines'!$C$83,IF(H41='Response Guidlines'!$D$84,'Response Guidlines'!$C$84,IF(H41='Response Guidlines'!$D$85,'Response Guidlines'!$C$85,IF(H41='Response Guidlines'!$D$86,'Response Guidlines'!$C$86,IF(H41='Response Guidlines'!$D$87,'Response Guidlines'!$C$87,"No Rating")))))))</f>
        <v>4</v>
      </c>
      <c r="J41" s="401">
        <f>(I41/$I$131)/_xlfn.XLOOKUP('Scoring Summary'!$D$24,'Response Guidlines'!$D$92:$D$191,'Response Guidlines'!$C$92:$C$191,"",0,1)</f>
        <v>2.7586206896551449E-3</v>
      </c>
      <c r="K41" s="279" t="s">
        <v>741</v>
      </c>
      <c r="L41" s="138">
        <f t="shared" ref="L41" si="11">J41</f>
        <v>2.7586206896551449E-3</v>
      </c>
      <c r="M41" s="745"/>
      <c r="N41" s="765"/>
      <c r="O41" s="757"/>
    </row>
    <row r="42" spans="1:15" s="135" customFormat="1" ht="65.25" hidden="1" customHeight="1" x14ac:dyDescent="0.35">
      <c r="A42" s="669"/>
      <c r="B42" s="749"/>
      <c r="C42" s="412"/>
      <c r="D42" s="650"/>
      <c r="E42" s="407"/>
      <c r="F42" s="412"/>
      <c r="G42" s="409"/>
      <c r="H42" s="521"/>
      <c r="I42" s="418"/>
      <c r="J42" s="401"/>
      <c r="K42" s="52" t="s">
        <v>901</v>
      </c>
      <c r="L42" s="138">
        <v>0</v>
      </c>
      <c r="M42" s="745"/>
      <c r="N42" s="765"/>
      <c r="O42" s="746"/>
    </row>
    <row r="43" spans="1:15" s="135" customFormat="1" ht="20" x14ac:dyDescent="0.2">
      <c r="A43" s="751" t="s">
        <v>902</v>
      </c>
      <c r="B43" s="747" t="s">
        <v>903</v>
      </c>
      <c r="C43" s="412" t="s">
        <v>904</v>
      </c>
      <c r="D43" s="679" t="s">
        <v>905</v>
      </c>
      <c r="E43" s="407"/>
      <c r="F43" s="412"/>
      <c r="G43" s="409"/>
      <c r="H43" s="521" t="s">
        <v>27</v>
      </c>
      <c r="I43" s="418">
        <f>IF(H43='Response Guidlines'!$D$81,'Response Guidlines'!$C$81, IF(H43='Response Guidlines'!$D$82,'Response Guidlines'!$C$82,IF(H43='Response Guidlines'!$D$83,'Response Guidlines'!$C$83,IF(H43='Response Guidlines'!$D$84,'Response Guidlines'!$C$84,IF(H43='Response Guidlines'!$D$85,'Response Guidlines'!$C$85,IF(H43='Response Guidlines'!$D$86,'Response Guidlines'!$C$86,IF(H43='Response Guidlines'!$D$87,'Response Guidlines'!$C$87,"No Rating")))))))</f>
        <v>4</v>
      </c>
      <c r="J43" s="401">
        <f>(I43/$I$131)/_xlfn.XLOOKUP('Scoring Summary'!$D$24,'Response Guidlines'!$D$92:$D$191,'Response Guidlines'!$C$92:$C$191,"",0,1)</f>
        <v>2.7586206896551449E-3</v>
      </c>
      <c r="K43" s="288" t="s">
        <v>906</v>
      </c>
      <c r="L43" s="138">
        <f t="shared" ref="L43" si="12">J43</f>
        <v>2.7586206896551449E-3</v>
      </c>
      <c r="M43" s="745"/>
      <c r="N43" s="765" t="s">
        <v>907</v>
      </c>
      <c r="O43" s="757" t="s">
        <v>908</v>
      </c>
    </row>
    <row r="44" spans="1:15" s="135" customFormat="1" ht="20" x14ac:dyDescent="0.35">
      <c r="A44" s="751"/>
      <c r="B44" s="748"/>
      <c r="C44" s="412"/>
      <c r="D44" s="650"/>
      <c r="E44" s="407"/>
      <c r="F44" s="412"/>
      <c r="G44" s="409"/>
      <c r="H44" s="521"/>
      <c r="I44" s="418"/>
      <c r="J44" s="401"/>
      <c r="K44" s="289" t="s">
        <v>909</v>
      </c>
      <c r="L44" s="138">
        <f t="shared" ref="L44" si="13">L43*0.75</f>
        <v>2.0689655172413586E-3</v>
      </c>
      <c r="M44" s="745"/>
      <c r="N44" s="765"/>
      <c r="O44" s="746"/>
    </row>
    <row r="45" spans="1:15" s="135" customFormat="1" ht="10" x14ac:dyDescent="0.35">
      <c r="A45" s="751"/>
      <c r="B45" s="748"/>
      <c r="C45" s="412"/>
      <c r="D45" s="650"/>
      <c r="E45" s="407"/>
      <c r="F45" s="412"/>
      <c r="G45" s="409"/>
      <c r="H45" s="521"/>
      <c r="I45" s="418"/>
      <c r="J45" s="401"/>
      <c r="K45" s="289" t="s">
        <v>910</v>
      </c>
      <c r="L45" s="138">
        <f t="shared" ref="L45" si="14">L43*0.5</f>
        <v>1.3793103448275724E-3</v>
      </c>
      <c r="M45" s="745"/>
      <c r="N45" s="765"/>
      <c r="O45" s="746"/>
    </row>
    <row r="46" spans="1:15" s="135" customFormat="1" ht="115.5" customHeight="1" x14ac:dyDescent="0.35">
      <c r="A46" s="751"/>
      <c r="B46" s="749"/>
      <c r="C46" s="412"/>
      <c r="D46" s="650"/>
      <c r="E46" s="407"/>
      <c r="F46" s="412"/>
      <c r="G46" s="409"/>
      <c r="H46" s="521"/>
      <c r="I46" s="418"/>
      <c r="J46" s="401"/>
      <c r="K46" s="310" t="s">
        <v>911</v>
      </c>
      <c r="L46" s="138">
        <v>0</v>
      </c>
      <c r="M46" s="745"/>
      <c r="N46" s="765"/>
      <c r="O46" s="746"/>
    </row>
    <row r="47" spans="1:15" s="135" customFormat="1" ht="20" hidden="1" x14ac:dyDescent="0.2">
      <c r="A47" s="669" t="s">
        <v>743</v>
      </c>
      <c r="B47" s="747" t="s">
        <v>912</v>
      </c>
      <c r="C47" s="659" t="s">
        <v>745</v>
      </c>
      <c r="D47" s="679" t="s">
        <v>746</v>
      </c>
      <c r="E47" s="407"/>
      <c r="F47" s="412"/>
      <c r="G47" s="409"/>
      <c r="H47" s="521" t="s">
        <v>27</v>
      </c>
      <c r="I47" s="418">
        <f>IF(H47='Response Guidlines'!$D$81,'Response Guidlines'!$C$81, IF(H47='Response Guidlines'!$D$82,'Response Guidlines'!$C$82,IF(H47='Response Guidlines'!$D$83,'Response Guidlines'!$C$83,IF(H47='Response Guidlines'!$D$84,'Response Guidlines'!$C$84,IF(H47='Response Guidlines'!$D$85,'Response Guidlines'!$C$85,IF(H47='Response Guidlines'!$D$86,'Response Guidlines'!$C$86,IF(H47='Response Guidlines'!$D$87,'Response Guidlines'!$C$87,"No Rating")))))))</f>
        <v>4</v>
      </c>
      <c r="J47" s="401">
        <f>(I47/$I$131)/_xlfn.XLOOKUP('Scoring Summary'!$D$24,'Response Guidlines'!$D$92:$D$191,'Response Guidlines'!$C$92:$C$191,"",0,1)</f>
        <v>2.7586206896551449E-3</v>
      </c>
      <c r="K47" s="288" t="s">
        <v>913</v>
      </c>
      <c r="L47" s="138">
        <f t="shared" ref="L47" si="15">J47</f>
        <v>2.7586206896551449E-3</v>
      </c>
      <c r="M47" s="745"/>
      <c r="N47" s="765"/>
      <c r="O47" s="757" t="s">
        <v>914</v>
      </c>
    </row>
    <row r="48" spans="1:15" s="135" customFormat="1" ht="20" hidden="1" x14ac:dyDescent="0.35">
      <c r="A48" s="669"/>
      <c r="B48" s="748"/>
      <c r="C48" s="659"/>
      <c r="D48" s="650"/>
      <c r="E48" s="407"/>
      <c r="F48" s="412"/>
      <c r="G48" s="409"/>
      <c r="H48" s="521"/>
      <c r="I48" s="418"/>
      <c r="J48" s="401"/>
      <c r="K48" s="289" t="s">
        <v>915</v>
      </c>
      <c r="L48" s="138">
        <f>L47*0.5</f>
        <v>1.3793103448275724E-3</v>
      </c>
      <c r="M48" s="745"/>
      <c r="N48" s="765"/>
      <c r="O48" s="746"/>
    </row>
    <row r="49" spans="1:15" s="135" customFormat="1" ht="241.5" hidden="1" customHeight="1" x14ac:dyDescent="0.35">
      <c r="A49" s="669"/>
      <c r="B49" s="749"/>
      <c r="C49" s="659"/>
      <c r="D49" s="650"/>
      <c r="E49" s="407"/>
      <c r="F49" s="412"/>
      <c r="G49" s="409"/>
      <c r="H49" s="521"/>
      <c r="I49" s="418"/>
      <c r="J49" s="401"/>
      <c r="K49" s="289" t="s">
        <v>916</v>
      </c>
      <c r="L49" s="138">
        <v>0</v>
      </c>
      <c r="M49" s="745"/>
      <c r="N49" s="765"/>
      <c r="O49" s="746"/>
    </row>
    <row r="50" spans="1:15" s="135" customFormat="1" ht="30" hidden="1" x14ac:dyDescent="0.35">
      <c r="A50" s="669" t="s">
        <v>750</v>
      </c>
      <c r="B50" s="747" t="s">
        <v>912</v>
      </c>
      <c r="C50" s="412" t="s">
        <v>751</v>
      </c>
      <c r="D50" s="679" t="s">
        <v>752</v>
      </c>
      <c r="E50" s="407"/>
      <c r="F50" s="412"/>
      <c r="G50" s="409"/>
      <c r="H50" s="521" t="s">
        <v>27</v>
      </c>
      <c r="I50" s="418">
        <f>IF(H50='Response Guidlines'!$D$81,'Response Guidlines'!$C$81, IF(H50='Response Guidlines'!$D$82,'Response Guidlines'!$C$82,IF(H50='Response Guidlines'!$D$83,'Response Guidlines'!$C$83,IF(H50='Response Guidlines'!$D$84,'Response Guidlines'!$C$84,IF(H50='Response Guidlines'!$D$85,'Response Guidlines'!$C$85,IF(H50='Response Guidlines'!$D$86,'Response Guidlines'!$C$86,IF(H50='Response Guidlines'!$D$87,'Response Guidlines'!$C$87,"No Rating")))))))</f>
        <v>4</v>
      </c>
      <c r="J50" s="401">
        <f>(I50/$I$131)/_xlfn.XLOOKUP('Scoring Summary'!$D$24,'Response Guidlines'!$D$92:$D$191,'Response Guidlines'!$C$92:$C$191,"",0,1)</f>
        <v>2.7586206896551449E-3</v>
      </c>
      <c r="K50" s="56" t="s">
        <v>753</v>
      </c>
      <c r="L50" s="138">
        <f t="shared" ref="L50" si="16">J50</f>
        <v>2.7586206896551449E-3</v>
      </c>
      <c r="M50" s="745"/>
      <c r="N50" s="765"/>
      <c r="O50" s="757"/>
    </row>
    <row r="51" spans="1:15" s="135" customFormat="1" ht="60.5" hidden="1" x14ac:dyDescent="0.35">
      <c r="A51" s="669"/>
      <c r="B51" s="748"/>
      <c r="C51" s="412"/>
      <c r="D51" s="650"/>
      <c r="E51" s="407"/>
      <c r="F51" s="412"/>
      <c r="G51" s="409"/>
      <c r="H51" s="521"/>
      <c r="I51" s="418"/>
      <c r="J51" s="401"/>
      <c r="K51" s="52" t="s">
        <v>754</v>
      </c>
      <c r="L51" s="138">
        <f>L50*0.5</f>
        <v>1.3793103448275724E-3</v>
      </c>
      <c r="M51" s="745"/>
      <c r="N51" s="765"/>
      <c r="O51" s="746"/>
    </row>
    <row r="52" spans="1:15" s="135" customFormat="1" ht="84.75" hidden="1" customHeight="1" x14ac:dyDescent="0.35">
      <c r="A52" s="669"/>
      <c r="B52" s="749"/>
      <c r="C52" s="412"/>
      <c r="D52" s="650"/>
      <c r="E52" s="407"/>
      <c r="F52" s="412"/>
      <c r="G52" s="409"/>
      <c r="H52" s="521"/>
      <c r="I52" s="418"/>
      <c r="J52" s="401"/>
      <c r="K52" s="56" t="s">
        <v>755</v>
      </c>
      <c r="L52" s="138">
        <v>0</v>
      </c>
      <c r="M52" s="745"/>
      <c r="N52" s="765"/>
      <c r="O52" s="746"/>
    </row>
    <row r="53" spans="1:15" s="135" customFormat="1" ht="60" hidden="1" x14ac:dyDescent="0.2">
      <c r="A53" s="669" t="s">
        <v>756</v>
      </c>
      <c r="B53" s="747" t="s">
        <v>912</v>
      </c>
      <c r="C53" s="412" t="s">
        <v>757</v>
      </c>
      <c r="D53" s="679" t="s">
        <v>758</v>
      </c>
      <c r="E53" s="407"/>
      <c r="F53" s="412"/>
      <c r="G53" s="409"/>
      <c r="H53" s="521" t="s">
        <v>27</v>
      </c>
      <c r="I53" s="418">
        <f>IF(H53='Response Guidlines'!$D$81,'Response Guidlines'!$C$81, IF(H53='Response Guidlines'!$D$82,'Response Guidlines'!$C$82,IF(H53='Response Guidlines'!$D$83,'Response Guidlines'!$C$83,IF(H53='Response Guidlines'!$D$84,'Response Guidlines'!$C$84,IF(H53='Response Guidlines'!$D$85,'Response Guidlines'!$C$85,IF(H53='Response Guidlines'!$D$86,'Response Guidlines'!$C$86,IF(H53='Response Guidlines'!$D$87,'Response Guidlines'!$C$87,"No Rating")))))))</f>
        <v>4</v>
      </c>
      <c r="J53" s="401">
        <f>(I53/$I$131)/_xlfn.XLOOKUP('Scoring Summary'!$D$24,'Response Guidlines'!$D$92:$D$191,'Response Guidlines'!$C$92:$C$191,"",0,1)</f>
        <v>2.7586206896551449E-3</v>
      </c>
      <c r="K53" s="279" t="s">
        <v>759</v>
      </c>
      <c r="L53" s="138">
        <f t="shared" ref="L53" si="17">J53</f>
        <v>2.7586206896551449E-3</v>
      </c>
      <c r="M53" s="745"/>
      <c r="N53" s="765"/>
      <c r="O53" s="757"/>
    </row>
    <row r="54" spans="1:15" s="135" customFormat="1" ht="60" hidden="1" x14ac:dyDescent="0.2">
      <c r="A54" s="669"/>
      <c r="B54" s="748"/>
      <c r="C54" s="412"/>
      <c r="D54" s="650"/>
      <c r="E54" s="407"/>
      <c r="F54" s="412"/>
      <c r="G54" s="409"/>
      <c r="H54" s="521"/>
      <c r="I54" s="418"/>
      <c r="J54" s="401"/>
      <c r="K54" s="279" t="s">
        <v>760</v>
      </c>
      <c r="L54" s="138">
        <f t="shared" ref="L54" si="18">L53*0.75</f>
        <v>2.0689655172413586E-3</v>
      </c>
      <c r="M54" s="745"/>
      <c r="N54" s="765"/>
      <c r="O54" s="746"/>
    </row>
    <row r="55" spans="1:15" s="135" customFormat="1" ht="50" hidden="1" x14ac:dyDescent="0.2">
      <c r="A55" s="669"/>
      <c r="B55" s="748"/>
      <c r="C55" s="412"/>
      <c r="D55" s="650"/>
      <c r="E55" s="407"/>
      <c r="F55" s="412"/>
      <c r="G55" s="409"/>
      <c r="H55" s="521"/>
      <c r="I55" s="418"/>
      <c r="J55" s="401"/>
      <c r="K55" s="279" t="s">
        <v>761</v>
      </c>
      <c r="L55" s="138">
        <f t="shared" ref="L55" si="19">L53*0.5</f>
        <v>1.3793103448275724E-3</v>
      </c>
      <c r="M55" s="745"/>
      <c r="N55" s="765"/>
      <c r="O55" s="746"/>
    </row>
    <row r="56" spans="1:15" s="135" customFormat="1" ht="38.25" hidden="1" customHeight="1" x14ac:dyDescent="0.35">
      <c r="A56" s="669"/>
      <c r="B56" s="749"/>
      <c r="C56" s="412"/>
      <c r="D56" s="650"/>
      <c r="E56" s="407"/>
      <c r="F56" s="412"/>
      <c r="G56" s="409"/>
      <c r="H56" s="521"/>
      <c r="I56" s="418"/>
      <c r="J56" s="401"/>
      <c r="K56" s="52" t="s">
        <v>762</v>
      </c>
      <c r="L56" s="138">
        <v>0</v>
      </c>
      <c r="M56" s="745"/>
      <c r="N56" s="765"/>
      <c r="O56" s="746"/>
    </row>
    <row r="57" spans="1:15" s="135" customFormat="1" ht="40" hidden="1" x14ac:dyDescent="0.2">
      <c r="A57" s="669" t="s">
        <v>763</v>
      </c>
      <c r="B57" s="747" t="s">
        <v>764</v>
      </c>
      <c r="C57" s="412" t="s">
        <v>765</v>
      </c>
      <c r="D57" s="679" t="s">
        <v>766</v>
      </c>
      <c r="E57" s="407"/>
      <c r="F57" s="412"/>
      <c r="G57" s="409"/>
      <c r="H57" s="521" t="s">
        <v>27</v>
      </c>
      <c r="I57" s="418">
        <f>IF(H57='Response Guidlines'!$D$81,'Response Guidlines'!$C$81, IF(H57='Response Guidlines'!$D$82,'Response Guidlines'!$C$82,IF(H57='Response Guidlines'!$D$83,'Response Guidlines'!$C$83,IF(H57='Response Guidlines'!$D$84,'Response Guidlines'!$C$84,IF(H57='Response Guidlines'!$D$85,'Response Guidlines'!$C$85,IF(H57='Response Guidlines'!$D$86,'Response Guidlines'!$C$86,IF(H57='Response Guidlines'!$D$87,'Response Guidlines'!$C$87,"No Rating")))))))</f>
        <v>4</v>
      </c>
      <c r="J57" s="401">
        <f>(I57/$I$131)/_xlfn.XLOOKUP('Scoring Summary'!$D$24,'Response Guidlines'!$D$92:$D$191,'Response Guidlines'!$C$92:$C$191,"",0,1)</f>
        <v>2.7586206896551449E-3</v>
      </c>
      <c r="K57" s="279" t="s">
        <v>767</v>
      </c>
      <c r="L57" s="138">
        <f t="shared" ref="L57" si="20">J57</f>
        <v>2.7586206896551449E-3</v>
      </c>
      <c r="M57" s="745"/>
      <c r="N57" s="765"/>
      <c r="O57" s="757"/>
    </row>
    <row r="58" spans="1:15" s="135" customFormat="1" ht="40.5" hidden="1" x14ac:dyDescent="0.2">
      <c r="A58" s="669"/>
      <c r="B58" s="748"/>
      <c r="C58" s="412"/>
      <c r="D58" s="650"/>
      <c r="E58" s="407"/>
      <c r="F58" s="412"/>
      <c r="G58" s="409"/>
      <c r="H58" s="521"/>
      <c r="I58" s="418"/>
      <c r="J58" s="401"/>
      <c r="K58" s="279" t="s">
        <v>768</v>
      </c>
      <c r="L58" s="138">
        <f>L57*0.5</f>
        <v>1.3793103448275724E-3</v>
      </c>
      <c r="M58" s="745"/>
      <c r="N58" s="765"/>
      <c r="O58" s="746"/>
    </row>
    <row r="59" spans="1:15" s="135" customFormat="1" ht="10" hidden="1" x14ac:dyDescent="0.35">
      <c r="A59" s="669"/>
      <c r="B59" s="749"/>
      <c r="C59" s="412"/>
      <c r="D59" s="650"/>
      <c r="E59" s="407"/>
      <c r="F59" s="412"/>
      <c r="G59" s="409"/>
      <c r="H59" s="521"/>
      <c r="I59" s="418"/>
      <c r="J59" s="401"/>
      <c r="K59" s="52" t="s">
        <v>769</v>
      </c>
      <c r="L59" s="138">
        <v>0</v>
      </c>
      <c r="M59" s="745"/>
      <c r="N59" s="765"/>
      <c r="O59" s="746"/>
    </row>
    <row r="60" spans="1:15" s="135" customFormat="1" ht="30.5" hidden="1" x14ac:dyDescent="0.35">
      <c r="A60" s="669" t="s">
        <v>770</v>
      </c>
      <c r="B60" s="747" t="s">
        <v>771</v>
      </c>
      <c r="C60" s="412" t="s">
        <v>917</v>
      </c>
      <c r="D60" s="679" t="s">
        <v>918</v>
      </c>
      <c r="E60" s="407"/>
      <c r="F60" s="412"/>
      <c r="G60" s="409"/>
      <c r="H60" s="521" t="s">
        <v>27</v>
      </c>
      <c r="I60" s="418">
        <f>IF(H60='Response Guidlines'!$D$81,'Response Guidlines'!$C$81, IF(H60='Response Guidlines'!$D$82,'Response Guidlines'!$C$82,IF(H60='Response Guidlines'!$D$83,'Response Guidlines'!$C$83,IF(H60='Response Guidlines'!$D$84,'Response Guidlines'!$C$84,IF(H60='Response Guidlines'!$D$85,'Response Guidlines'!$C$85,IF(H60='Response Guidlines'!$D$86,'Response Guidlines'!$C$86,IF(H60='Response Guidlines'!$D$87,'Response Guidlines'!$C$87,"No Rating")))))))</f>
        <v>4</v>
      </c>
      <c r="J60" s="401">
        <f>(I60/$I$131)/_xlfn.XLOOKUP('Scoring Summary'!$D$24,'Response Guidlines'!$D$92:$D$191,'Response Guidlines'!$C$92:$C$191,"",0,1)</f>
        <v>2.7586206896551449E-3</v>
      </c>
      <c r="K60" s="56" t="s">
        <v>772</v>
      </c>
      <c r="L60" s="138">
        <f t="shared" ref="L60" si="21">J60</f>
        <v>2.7586206896551449E-3</v>
      </c>
      <c r="M60" s="745"/>
      <c r="N60" s="765"/>
      <c r="O60" s="757"/>
    </row>
    <row r="61" spans="1:15" s="135" customFormat="1" ht="31" hidden="1" x14ac:dyDescent="0.35">
      <c r="A61" s="669"/>
      <c r="B61" s="748"/>
      <c r="C61" s="412"/>
      <c r="D61" s="650"/>
      <c r="E61" s="407"/>
      <c r="F61" s="412"/>
      <c r="G61" s="409"/>
      <c r="H61" s="521"/>
      <c r="I61" s="418"/>
      <c r="J61" s="401"/>
      <c r="K61" s="56" t="s">
        <v>773</v>
      </c>
      <c r="L61" s="138">
        <f>L60*0.5</f>
        <v>1.3793103448275724E-3</v>
      </c>
      <c r="M61" s="745"/>
      <c r="N61" s="765"/>
      <c r="O61" s="746"/>
    </row>
    <row r="62" spans="1:15" s="135" customFormat="1" ht="20.5" hidden="1" x14ac:dyDescent="0.35">
      <c r="A62" s="669"/>
      <c r="B62" s="749"/>
      <c r="C62" s="412"/>
      <c r="D62" s="650"/>
      <c r="E62" s="407"/>
      <c r="F62" s="412"/>
      <c r="G62" s="409"/>
      <c r="H62" s="521"/>
      <c r="I62" s="418"/>
      <c r="J62" s="401"/>
      <c r="K62" s="56" t="s">
        <v>774</v>
      </c>
      <c r="L62" s="138">
        <v>0</v>
      </c>
      <c r="M62" s="745"/>
      <c r="N62" s="765"/>
      <c r="O62" s="746"/>
    </row>
    <row r="63" spans="1:15" s="135" customFormat="1" ht="21" x14ac:dyDescent="0.35">
      <c r="A63" s="751" t="s">
        <v>919</v>
      </c>
      <c r="B63" s="747" t="s">
        <v>771</v>
      </c>
      <c r="C63" s="412" t="s">
        <v>920</v>
      </c>
      <c r="D63" s="679" t="s">
        <v>921</v>
      </c>
      <c r="E63" s="407"/>
      <c r="F63" s="412"/>
      <c r="G63" s="409"/>
      <c r="H63" s="521" t="s">
        <v>27</v>
      </c>
      <c r="I63" s="418">
        <f>IF(H63='Response Guidlines'!$D$81,'Response Guidlines'!$C$81, IF(H63='Response Guidlines'!$D$82,'Response Guidlines'!$C$82,IF(H63='Response Guidlines'!$D$83,'Response Guidlines'!$C$83,IF(H63='Response Guidlines'!$D$84,'Response Guidlines'!$C$84,IF(H63='Response Guidlines'!$D$85,'Response Guidlines'!$C$85,IF(H63='Response Guidlines'!$D$86,'Response Guidlines'!$C$86,IF(H63='Response Guidlines'!$D$87,'Response Guidlines'!$C$87,"No Rating")))))))</f>
        <v>4</v>
      </c>
      <c r="J63" s="401">
        <f>(I63/$I$131)/_xlfn.XLOOKUP('Scoring Summary'!$D$24,'Response Guidlines'!$D$92:$D$191,'Response Guidlines'!$C$92:$C$191,"",0,1)</f>
        <v>2.7586206896551449E-3</v>
      </c>
      <c r="K63" s="272" t="s">
        <v>922</v>
      </c>
      <c r="L63" s="138"/>
      <c r="M63" s="745"/>
      <c r="N63" s="668"/>
      <c r="O63" s="668" t="s">
        <v>923</v>
      </c>
    </row>
    <row r="64" spans="1:15" s="135" customFormat="1" ht="10" x14ac:dyDescent="0.35">
      <c r="A64" s="751"/>
      <c r="B64" s="748"/>
      <c r="C64" s="412"/>
      <c r="D64" s="650"/>
      <c r="E64" s="407"/>
      <c r="F64" s="412"/>
      <c r="G64" s="409"/>
      <c r="H64" s="521"/>
      <c r="I64" s="418"/>
      <c r="J64" s="401"/>
      <c r="K64" s="56" t="s">
        <v>924</v>
      </c>
      <c r="L64" s="275">
        <f>J$63/5</f>
        <v>5.5172413793102898E-4</v>
      </c>
      <c r="M64" s="745"/>
      <c r="N64" s="668"/>
      <c r="O64" s="668"/>
    </row>
    <row r="65" spans="1:15" s="135" customFormat="1" ht="10" x14ac:dyDescent="0.35">
      <c r="A65" s="751"/>
      <c r="B65" s="748"/>
      <c r="C65" s="412"/>
      <c r="D65" s="650"/>
      <c r="E65" s="407"/>
      <c r="F65" s="412"/>
      <c r="G65" s="409"/>
      <c r="H65" s="521"/>
      <c r="I65" s="418"/>
      <c r="J65" s="401"/>
      <c r="K65" s="280" t="s">
        <v>925</v>
      </c>
      <c r="L65" s="275">
        <f t="shared" ref="L65:L68" si="22">J$63/5</f>
        <v>5.5172413793102898E-4</v>
      </c>
      <c r="M65" s="745"/>
      <c r="N65" s="668"/>
      <c r="O65" s="668"/>
    </row>
    <row r="66" spans="1:15" s="135" customFormat="1" ht="10" x14ac:dyDescent="0.35">
      <c r="A66" s="751"/>
      <c r="B66" s="748"/>
      <c r="C66" s="412"/>
      <c r="D66" s="650"/>
      <c r="E66" s="407"/>
      <c r="F66" s="412"/>
      <c r="G66" s="409"/>
      <c r="H66" s="521"/>
      <c r="I66" s="418"/>
      <c r="J66" s="401"/>
      <c r="K66" s="52" t="s">
        <v>926</v>
      </c>
      <c r="L66" s="275">
        <f t="shared" si="22"/>
        <v>5.5172413793102898E-4</v>
      </c>
      <c r="M66" s="745"/>
      <c r="N66" s="668"/>
      <c r="O66" s="668"/>
    </row>
    <row r="67" spans="1:15" s="135" customFormat="1" ht="10" x14ac:dyDescent="0.35">
      <c r="A67" s="751"/>
      <c r="B67" s="748"/>
      <c r="C67" s="412"/>
      <c r="D67" s="650"/>
      <c r="E67" s="407"/>
      <c r="F67" s="412"/>
      <c r="G67" s="409"/>
      <c r="H67" s="521"/>
      <c r="I67" s="418"/>
      <c r="J67" s="401"/>
      <c r="K67" s="281" t="s">
        <v>927</v>
      </c>
      <c r="L67" s="275">
        <f t="shared" si="22"/>
        <v>5.5172413793102898E-4</v>
      </c>
      <c r="M67" s="745"/>
      <c r="N67" s="668"/>
      <c r="O67" s="668"/>
    </row>
    <row r="68" spans="1:15" s="135" customFormat="1" ht="51" customHeight="1" x14ac:dyDescent="0.35">
      <c r="A68" s="751"/>
      <c r="B68" s="749"/>
      <c r="C68" s="412"/>
      <c r="D68" s="650"/>
      <c r="E68" s="407"/>
      <c r="F68" s="412"/>
      <c r="G68" s="409"/>
      <c r="H68" s="521"/>
      <c r="I68" s="418"/>
      <c r="J68" s="401"/>
      <c r="K68" s="281" t="s">
        <v>928</v>
      </c>
      <c r="L68" s="275">
        <f t="shared" si="22"/>
        <v>5.5172413793102898E-4</v>
      </c>
      <c r="M68" s="745"/>
      <c r="N68" s="668"/>
      <c r="O68" s="668"/>
    </row>
    <row r="69" spans="1:15" s="135" customFormat="1" ht="30" hidden="1" x14ac:dyDescent="0.2">
      <c r="A69" s="669" t="s">
        <v>775</v>
      </c>
      <c r="B69" s="747" t="s">
        <v>771</v>
      </c>
      <c r="C69" s="412" t="s">
        <v>929</v>
      </c>
      <c r="D69" s="679" t="s">
        <v>777</v>
      </c>
      <c r="E69" s="407"/>
      <c r="F69" s="412"/>
      <c r="G69" s="409"/>
      <c r="H69" s="521" t="s">
        <v>27</v>
      </c>
      <c r="I69" s="418">
        <v>4</v>
      </c>
      <c r="J69" s="401">
        <f>(I69/$I$131)/_xlfn.XLOOKUP('Scoring Summary'!$D$24,'Response Guidlines'!$D$92:$D$191,'Response Guidlines'!$C$92:$C$191,"",0,1)</f>
        <v>2.7586206896551449E-3</v>
      </c>
      <c r="K69" s="279" t="s">
        <v>778</v>
      </c>
      <c r="L69" s="138">
        <f t="shared" ref="L69" si="23">J69</f>
        <v>2.7586206896551449E-3</v>
      </c>
      <c r="M69" s="745"/>
      <c r="N69" s="668"/>
      <c r="O69" s="760" t="s">
        <v>779</v>
      </c>
    </row>
    <row r="70" spans="1:15" s="135" customFormat="1" ht="20" hidden="1" x14ac:dyDescent="0.35">
      <c r="A70" s="669"/>
      <c r="B70" s="748"/>
      <c r="C70" s="412"/>
      <c r="D70" s="650"/>
      <c r="E70" s="407"/>
      <c r="F70" s="412"/>
      <c r="G70" s="409"/>
      <c r="H70" s="521"/>
      <c r="I70" s="418"/>
      <c r="J70" s="401"/>
      <c r="K70" s="52" t="s">
        <v>780</v>
      </c>
      <c r="L70" s="138">
        <f>L69*0.5</f>
        <v>1.3793103448275724E-3</v>
      </c>
      <c r="M70" s="745"/>
      <c r="N70" s="668"/>
      <c r="O70" s="761"/>
    </row>
    <row r="71" spans="1:15" s="135" customFormat="1" ht="106.5" hidden="1" customHeight="1" x14ac:dyDescent="0.35">
      <c r="A71" s="669"/>
      <c r="B71" s="749"/>
      <c r="C71" s="412"/>
      <c r="D71" s="650"/>
      <c r="E71" s="407"/>
      <c r="F71" s="412"/>
      <c r="G71" s="409"/>
      <c r="H71" s="521"/>
      <c r="I71" s="418"/>
      <c r="J71" s="401"/>
      <c r="K71" s="56" t="s">
        <v>781</v>
      </c>
      <c r="L71" s="138">
        <v>0</v>
      </c>
      <c r="M71" s="745"/>
      <c r="N71" s="668"/>
      <c r="O71" s="761"/>
    </row>
    <row r="72" spans="1:15" ht="98.25" hidden="1" customHeight="1" x14ac:dyDescent="0.2">
      <c r="A72" s="669" t="s">
        <v>782</v>
      </c>
      <c r="B72" s="747" t="s">
        <v>771</v>
      </c>
      <c r="C72" s="412" t="s">
        <v>930</v>
      </c>
      <c r="D72" s="762" t="s">
        <v>931</v>
      </c>
      <c r="H72" s="521" t="s">
        <v>27</v>
      </c>
      <c r="I72" s="418">
        <v>4</v>
      </c>
      <c r="J72" s="401">
        <f>(I72/$I$131)/_xlfn.XLOOKUP('Scoring Summary'!$D$24,'Response Guidlines'!$D$92:$D$191,'Response Guidlines'!$C$92:$C$191,"",0,1)</f>
        <v>2.7586206896551449E-3</v>
      </c>
      <c r="K72" s="56" t="s">
        <v>785</v>
      </c>
      <c r="L72" s="138">
        <f t="shared" ref="L72" si="24">J72</f>
        <v>2.7586206896551449E-3</v>
      </c>
      <c r="M72" s="745"/>
      <c r="N72" s="668"/>
      <c r="O72" s="283" t="s">
        <v>932</v>
      </c>
    </row>
    <row r="73" spans="1:15" ht="20" hidden="1" x14ac:dyDescent="0.2">
      <c r="A73" s="669"/>
      <c r="B73" s="748"/>
      <c r="C73" s="412"/>
      <c r="D73" s="763"/>
      <c r="H73" s="521"/>
      <c r="I73" s="418"/>
      <c r="J73" s="401"/>
      <c r="K73" s="56" t="s">
        <v>786</v>
      </c>
      <c r="L73" s="138">
        <f>L72*0.5</f>
        <v>1.3793103448275724E-3</v>
      </c>
      <c r="M73" s="745"/>
      <c r="N73" s="668"/>
      <c r="O73" s="283" t="s">
        <v>787</v>
      </c>
    </row>
    <row r="74" spans="1:15" ht="27" hidden="1" customHeight="1" x14ac:dyDescent="0.2">
      <c r="A74" s="669"/>
      <c r="B74" s="749"/>
      <c r="C74" s="412"/>
      <c r="D74" s="764"/>
      <c r="H74" s="521"/>
      <c r="I74" s="418"/>
      <c r="J74" s="401"/>
      <c r="K74" s="56" t="s">
        <v>788</v>
      </c>
      <c r="L74" s="138">
        <v>0</v>
      </c>
      <c r="M74" s="745"/>
      <c r="N74" s="668"/>
      <c r="O74" s="52" t="s">
        <v>789</v>
      </c>
    </row>
    <row r="75" spans="1:15" s="49" customFormat="1" ht="16.149999999999999" customHeight="1" x14ac:dyDescent="0.2">
      <c r="A75" s="751" t="s">
        <v>933</v>
      </c>
      <c r="B75" s="747" t="s">
        <v>771</v>
      </c>
      <c r="C75" s="752" t="s">
        <v>934</v>
      </c>
      <c r="D75" s="753" t="s">
        <v>935</v>
      </c>
      <c r="E75" s="18"/>
      <c r="F75" s="18"/>
      <c r="G75" s="18"/>
      <c r="H75" s="521" t="s">
        <v>27</v>
      </c>
      <c r="I75" s="418">
        <v>4</v>
      </c>
      <c r="J75" s="401">
        <f>(I75/$I$131)/_xlfn.XLOOKUP('Scoring Summary'!$D$24,'Response Guidlines'!$D$92:$D$191,'Response Guidlines'!$C$92:$C$191,"",0,1)</f>
        <v>2.7586206896551449E-3</v>
      </c>
      <c r="K75" s="56"/>
      <c r="L75" s="138">
        <f t="shared" ref="L75" si="25">J75</f>
        <v>2.7586206896551449E-3</v>
      </c>
      <c r="M75" s="745"/>
      <c r="N75" s="668" t="s">
        <v>885</v>
      </c>
      <c r="O75" s="758" t="s">
        <v>936</v>
      </c>
    </row>
    <row r="76" spans="1:15" ht="10" x14ac:dyDescent="0.2">
      <c r="A76" s="751"/>
      <c r="B76" s="748"/>
      <c r="C76" s="752"/>
      <c r="D76" s="754"/>
      <c r="H76" s="521"/>
      <c r="I76" s="418"/>
      <c r="J76" s="401"/>
      <c r="K76" s="56"/>
      <c r="L76" s="138">
        <f t="shared" ref="L76" si="26">L75*0.75</f>
        <v>2.0689655172413586E-3</v>
      </c>
      <c r="M76" s="745"/>
      <c r="N76" s="668"/>
      <c r="O76" s="759"/>
    </row>
    <row r="77" spans="1:15" ht="10" x14ac:dyDescent="0.2">
      <c r="A77" s="751"/>
      <c r="B77" s="748"/>
      <c r="C77" s="752"/>
      <c r="D77" s="754"/>
      <c r="H77" s="521"/>
      <c r="I77" s="418"/>
      <c r="J77" s="401"/>
      <c r="K77" s="52"/>
      <c r="L77" s="138">
        <f t="shared" ref="L77" si="27">L75*0.5</f>
        <v>1.3793103448275724E-3</v>
      </c>
      <c r="M77" s="745"/>
      <c r="N77" s="668"/>
      <c r="O77" s="759"/>
    </row>
    <row r="78" spans="1:15" ht="10" x14ac:dyDescent="0.2">
      <c r="A78" s="751"/>
      <c r="B78" s="748"/>
      <c r="C78" s="752"/>
      <c r="D78" s="754"/>
      <c r="H78" s="521"/>
      <c r="I78" s="418"/>
      <c r="J78" s="401"/>
      <c r="K78" s="52"/>
      <c r="L78" s="138">
        <f t="shared" ref="L78" si="28">L75*0.25</f>
        <v>6.8965517241378622E-4</v>
      </c>
      <c r="M78" s="745"/>
      <c r="N78" s="668"/>
      <c r="O78" s="759"/>
    </row>
    <row r="79" spans="1:15" ht="18" customHeight="1" x14ac:dyDescent="0.2">
      <c r="A79" s="751"/>
      <c r="B79" s="749"/>
      <c r="C79" s="752"/>
      <c r="D79" s="754"/>
      <c r="H79" s="521"/>
      <c r="I79" s="418"/>
      <c r="J79" s="401"/>
      <c r="K79" s="56"/>
      <c r="L79" s="138">
        <v>0</v>
      </c>
      <c r="M79" s="745"/>
      <c r="N79" s="668"/>
      <c r="O79" s="759"/>
    </row>
    <row r="80" spans="1:15" ht="20.5" hidden="1" x14ac:dyDescent="0.2">
      <c r="A80" s="669" t="s">
        <v>790</v>
      </c>
      <c r="B80" s="747" t="s">
        <v>771</v>
      </c>
      <c r="C80" s="412" t="s">
        <v>791</v>
      </c>
      <c r="D80" s="679" t="s">
        <v>792</v>
      </c>
      <c r="H80" s="521" t="s">
        <v>27</v>
      </c>
      <c r="I80" s="418">
        <v>4</v>
      </c>
      <c r="J80" s="401">
        <f>(I80/$I$131)/_xlfn.XLOOKUP('Scoring Summary'!$D$24,'Response Guidlines'!$D$92:$D$191,'Response Guidlines'!$C$92:$C$191,"",0,1)</f>
        <v>2.7586206896551449E-3</v>
      </c>
      <c r="K80" s="56" t="s">
        <v>793</v>
      </c>
      <c r="L80" s="138">
        <f t="shared" ref="L80" si="29">J80</f>
        <v>2.7586206896551449E-3</v>
      </c>
      <c r="M80" s="745"/>
      <c r="N80" s="668"/>
      <c r="O80" s="267" t="s">
        <v>794</v>
      </c>
    </row>
    <row r="81" spans="1:15" ht="10" hidden="1" x14ac:dyDescent="0.2">
      <c r="A81" s="669"/>
      <c r="B81" s="748"/>
      <c r="C81" s="412"/>
      <c r="D81" s="650"/>
      <c r="H81" s="521"/>
      <c r="I81" s="418"/>
      <c r="J81" s="401"/>
      <c r="K81" s="56" t="s">
        <v>795</v>
      </c>
      <c r="L81" s="138">
        <f>L80*0.5</f>
        <v>1.3793103448275724E-3</v>
      </c>
      <c r="M81" s="745"/>
      <c r="N81" s="668"/>
      <c r="O81" s="267"/>
    </row>
    <row r="82" spans="1:15" ht="38.25" hidden="1" customHeight="1" x14ac:dyDescent="0.2">
      <c r="A82" s="669"/>
      <c r="B82" s="749"/>
      <c r="C82" s="412"/>
      <c r="D82" s="650"/>
      <c r="H82" s="521"/>
      <c r="I82" s="418"/>
      <c r="J82" s="401"/>
      <c r="K82" s="56" t="s">
        <v>796</v>
      </c>
      <c r="L82" s="138">
        <v>0</v>
      </c>
      <c r="M82" s="745"/>
      <c r="N82" s="668"/>
      <c r="O82" s="267"/>
    </row>
    <row r="83" spans="1:15" ht="40" hidden="1" x14ac:dyDescent="0.2">
      <c r="A83" s="669" t="s">
        <v>797</v>
      </c>
      <c r="B83" s="747" t="s">
        <v>771</v>
      </c>
      <c r="C83" s="412" t="s">
        <v>798</v>
      </c>
      <c r="D83" s="679" t="s">
        <v>799</v>
      </c>
      <c r="H83" s="521" t="s">
        <v>27</v>
      </c>
      <c r="I83" s="418">
        <v>4</v>
      </c>
      <c r="J83" s="401">
        <f>(I83/$I$131)/_xlfn.XLOOKUP('Scoring Summary'!$D$24,'Response Guidlines'!$D$92:$D$191,'Response Guidlines'!$C$92:$C$191,"",0,1)</f>
        <v>2.7586206896551449E-3</v>
      </c>
      <c r="K83" s="56" t="s">
        <v>800</v>
      </c>
      <c r="L83" s="138">
        <f t="shared" ref="L83" si="30">J83</f>
        <v>2.7586206896551449E-3</v>
      </c>
      <c r="M83" s="745"/>
      <c r="N83" s="668"/>
      <c r="O83" s="267" t="s">
        <v>794</v>
      </c>
    </row>
    <row r="84" spans="1:15" ht="40.5" hidden="1" x14ac:dyDescent="0.2">
      <c r="A84" s="669"/>
      <c r="B84" s="748"/>
      <c r="C84" s="412"/>
      <c r="D84" s="650"/>
      <c r="H84" s="521"/>
      <c r="I84" s="418"/>
      <c r="J84" s="401"/>
      <c r="K84" s="52" t="s">
        <v>801</v>
      </c>
      <c r="L84" s="138">
        <f>L83*0.5</f>
        <v>1.3793103448275724E-3</v>
      </c>
      <c r="M84" s="745"/>
      <c r="N84" s="668"/>
      <c r="O84" s="267"/>
    </row>
    <row r="85" spans="1:15" ht="40.5" hidden="1" x14ac:dyDescent="0.2">
      <c r="A85" s="669"/>
      <c r="B85" s="749"/>
      <c r="C85" s="412"/>
      <c r="D85" s="650"/>
      <c r="H85" s="521"/>
      <c r="I85" s="418"/>
      <c r="J85" s="401"/>
      <c r="K85" s="52" t="s">
        <v>802</v>
      </c>
      <c r="L85" s="138">
        <v>0</v>
      </c>
      <c r="M85" s="745"/>
      <c r="N85" s="668"/>
      <c r="O85" s="267"/>
    </row>
    <row r="86" spans="1:15" ht="52" hidden="1" x14ac:dyDescent="0.2">
      <c r="A86" s="669" t="s">
        <v>803</v>
      </c>
      <c r="B86" s="747" t="s">
        <v>771</v>
      </c>
      <c r="C86" s="412" t="s">
        <v>937</v>
      </c>
      <c r="D86" s="679" t="s">
        <v>938</v>
      </c>
      <c r="H86" s="521" t="s">
        <v>27</v>
      </c>
      <c r="I86" s="418">
        <v>4</v>
      </c>
      <c r="J86" s="401">
        <f>(I86/$I$131)/_xlfn.XLOOKUP('Scoring Summary'!$D$24,'Response Guidlines'!$D$92:$D$191,'Response Guidlines'!$C$92:$C$191,"",0,1)</f>
        <v>2.7586206896551449E-3</v>
      </c>
      <c r="K86" s="272" t="s">
        <v>806</v>
      </c>
      <c r="L86" s="138"/>
      <c r="M86" s="745"/>
      <c r="N86" s="668"/>
      <c r="O86" s="285" t="s">
        <v>807</v>
      </c>
    </row>
    <row r="87" spans="1:15" ht="22.5" hidden="1" customHeight="1" x14ac:dyDescent="0.2">
      <c r="A87" s="669"/>
      <c r="B87" s="748"/>
      <c r="C87" s="412"/>
      <c r="D87" s="650"/>
      <c r="H87" s="521"/>
      <c r="I87" s="418"/>
      <c r="J87" s="401"/>
      <c r="K87" s="56" t="s">
        <v>808</v>
      </c>
      <c r="L87" s="138">
        <f>J86/3</f>
        <v>9.1954022988504833E-4</v>
      </c>
      <c r="M87" s="745"/>
      <c r="N87" s="668"/>
      <c r="O87" s="286" t="s">
        <v>939</v>
      </c>
    </row>
    <row r="88" spans="1:15" ht="24.75" hidden="1" customHeight="1" x14ac:dyDescent="0.2">
      <c r="A88" s="669"/>
      <c r="B88" s="748"/>
      <c r="C88" s="412"/>
      <c r="D88" s="650"/>
      <c r="H88" s="521"/>
      <c r="I88" s="418"/>
      <c r="J88" s="401"/>
      <c r="K88" s="52" t="s">
        <v>809</v>
      </c>
      <c r="L88" s="138">
        <f>L87</f>
        <v>9.1954022988504833E-4</v>
      </c>
      <c r="M88" s="745"/>
      <c r="N88" s="668"/>
      <c r="O88" s="287" t="s">
        <v>940</v>
      </c>
    </row>
    <row r="89" spans="1:15" ht="134.25" hidden="1" customHeight="1" x14ac:dyDescent="0.2">
      <c r="A89" s="669"/>
      <c r="B89" s="749"/>
      <c r="C89" s="412"/>
      <c r="D89" s="650"/>
      <c r="H89" s="521"/>
      <c r="I89" s="418"/>
      <c r="J89" s="401"/>
      <c r="K89" s="56" t="s">
        <v>810</v>
      </c>
      <c r="L89" s="138">
        <f>L87</f>
        <v>9.1954022988504833E-4</v>
      </c>
      <c r="M89" s="745"/>
      <c r="N89" s="668"/>
      <c r="O89" s="52" t="s">
        <v>941</v>
      </c>
    </row>
    <row r="90" spans="1:15" ht="30" hidden="1" x14ac:dyDescent="0.2">
      <c r="A90" s="669" t="s">
        <v>811</v>
      </c>
      <c r="B90" s="747" t="s">
        <v>771</v>
      </c>
      <c r="C90" s="412" t="s">
        <v>812</v>
      </c>
      <c r="D90" s="679" t="s">
        <v>813</v>
      </c>
      <c r="H90" s="521" t="s">
        <v>27</v>
      </c>
      <c r="I90" s="418">
        <v>4</v>
      </c>
      <c r="J90" s="401">
        <f>(I90/$I$131)/_xlfn.XLOOKUP('Scoring Summary'!$D$24,'Response Guidlines'!$D$92:$D$191,'Response Guidlines'!$C$92:$C$191,"",0,1)</f>
        <v>2.7586206896551449E-3</v>
      </c>
      <c r="K90" s="56" t="s">
        <v>814</v>
      </c>
      <c r="L90" s="138">
        <f t="shared" ref="L90" si="31">J90</f>
        <v>2.7586206896551449E-3</v>
      </c>
      <c r="M90" s="745"/>
      <c r="N90" s="668"/>
      <c r="O90" s="750" t="s">
        <v>794</v>
      </c>
    </row>
    <row r="91" spans="1:15" ht="10" hidden="1" x14ac:dyDescent="0.2">
      <c r="A91" s="669"/>
      <c r="B91" s="748"/>
      <c r="C91" s="412"/>
      <c r="D91" s="650"/>
      <c r="H91" s="521"/>
      <c r="I91" s="418"/>
      <c r="J91" s="401"/>
      <c r="K91" s="56" t="s">
        <v>815</v>
      </c>
      <c r="L91" s="138">
        <f>L90*0.5</f>
        <v>1.3793103448275724E-3</v>
      </c>
      <c r="M91" s="745"/>
      <c r="N91" s="668"/>
      <c r="O91" s="750"/>
    </row>
    <row r="92" spans="1:15" ht="33.75" hidden="1" customHeight="1" x14ac:dyDescent="0.2">
      <c r="A92" s="669"/>
      <c r="B92" s="749"/>
      <c r="C92" s="412"/>
      <c r="D92" s="650"/>
      <c r="H92" s="521"/>
      <c r="I92" s="418"/>
      <c r="J92" s="401"/>
      <c r="K92" s="56" t="s">
        <v>816</v>
      </c>
      <c r="L92" s="138">
        <v>0</v>
      </c>
      <c r="M92" s="745"/>
      <c r="N92" s="668"/>
      <c r="O92" s="750"/>
    </row>
    <row r="93" spans="1:15" ht="21" hidden="1" x14ac:dyDescent="0.2">
      <c r="A93" s="669" t="s">
        <v>817</v>
      </c>
      <c r="B93" s="747" t="s">
        <v>771</v>
      </c>
      <c r="C93" s="412" t="s">
        <v>818</v>
      </c>
      <c r="D93" s="679" t="s">
        <v>942</v>
      </c>
      <c r="H93" s="521" t="s">
        <v>27</v>
      </c>
      <c r="I93" s="418">
        <v>4</v>
      </c>
      <c r="J93" s="401">
        <f>(I93/$I$131)/_xlfn.XLOOKUP('Scoring Summary'!$D$24,'Response Guidlines'!$D$92:$D$191,'Response Guidlines'!$C$92:$C$191,"",0,1)</f>
        <v>2.7586206896551449E-3</v>
      </c>
      <c r="K93" s="272" t="s">
        <v>806</v>
      </c>
      <c r="L93" s="138"/>
      <c r="M93" s="745"/>
      <c r="N93" s="668"/>
    </row>
    <row r="94" spans="1:15" ht="25.5" hidden="1" customHeight="1" x14ac:dyDescent="0.2">
      <c r="A94" s="669"/>
      <c r="B94" s="748"/>
      <c r="C94" s="412"/>
      <c r="D94" s="650"/>
      <c r="H94" s="521"/>
      <c r="I94" s="418"/>
      <c r="J94" s="401"/>
      <c r="K94" s="52" t="s">
        <v>943</v>
      </c>
      <c r="L94" s="138">
        <f>J93/2</f>
        <v>1.3793103448275724E-3</v>
      </c>
      <c r="M94" s="745"/>
      <c r="N94" s="668"/>
    </row>
    <row r="95" spans="1:15" ht="36" hidden="1" customHeight="1" x14ac:dyDescent="0.2">
      <c r="A95" s="669"/>
      <c r="B95" s="749"/>
      <c r="C95" s="412"/>
      <c r="D95" s="650"/>
      <c r="H95" s="521"/>
      <c r="I95" s="418"/>
      <c r="J95" s="401"/>
      <c r="K95" s="52" t="s">
        <v>821</v>
      </c>
      <c r="L95" s="138">
        <f>J93/2</f>
        <v>1.3793103448275724E-3</v>
      </c>
      <c r="M95" s="745"/>
      <c r="N95" s="668"/>
    </row>
    <row r="96" spans="1:15" ht="31" hidden="1" x14ac:dyDescent="0.2">
      <c r="A96" s="669" t="s">
        <v>822</v>
      </c>
      <c r="B96" s="747" t="s">
        <v>771</v>
      </c>
      <c r="C96" s="412" t="s">
        <v>823</v>
      </c>
      <c r="D96" s="679" t="s">
        <v>944</v>
      </c>
      <c r="H96" s="521" t="s">
        <v>27</v>
      </c>
      <c r="I96" s="418">
        <v>4</v>
      </c>
      <c r="J96" s="401">
        <f>(I96/$I$131)/_xlfn.XLOOKUP('Scoring Summary'!$D$24,'Response Guidlines'!$D$92:$D$191,'Response Guidlines'!$C$92:$C$191,"",0,1)</f>
        <v>2.7586206896551449E-3</v>
      </c>
      <c r="K96" s="56" t="s">
        <v>825</v>
      </c>
      <c r="L96" s="138">
        <f t="shared" ref="L96" si="32">J96</f>
        <v>2.7586206896551449E-3</v>
      </c>
      <c r="M96" s="745"/>
      <c r="N96" s="668"/>
    </row>
    <row r="97" spans="1:15" ht="31.5" hidden="1" x14ac:dyDescent="0.2">
      <c r="A97" s="669"/>
      <c r="B97" s="748"/>
      <c r="C97" s="412"/>
      <c r="D97" s="650"/>
      <c r="H97" s="521"/>
      <c r="I97" s="418"/>
      <c r="J97" s="401"/>
      <c r="K97" s="52" t="s">
        <v>826</v>
      </c>
      <c r="L97" s="138">
        <f>L96*0.5</f>
        <v>1.3793103448275724E-3</v>
      </c>
      <c r="M97" s="745"/>
      <c r="N97" s="668"/>
    </row>
    <row r="98" spans="1:15" ht="32.25" hidden="1" customHeight="1" x14ac:dyDescent="0.2">
      <c r="A98" s="669"/>
      <c r="B98" s="749"/>
      <c r="C98" s="412"/>
      <c r="D98" s="650"/>
      <c r="H98" s="521"/>
      <c r="I98" s="418"/>
      <c r="J98" s="401"/>
      <c r="K98" s="56" t="s">
        <v>945</v>
      </c>
      <c r="L98" s="138">
        <v>0</v>
      </c>
      <c r="M98" s="745"/>
      <c r="N98" s="668"/>
    </row>
    <row r="99" spans="1:15" ht="15" hidden="1" customHeight="1" x14ac:dyDescent="0.2">
      <c r="A99" s="669" t="s">
        <v>828</v>
      </c>
      <c r="B99" s="747" t="s">
        <v>771</v>
      </c>
      <c r="C99" s="412" t="s">
        <v>829</v>
      </c>
      <c r="D99" s="679" t="s">
        <v>830</v>
      </c>
      <c r="H99" s="521" t="s">
        <v>27</v>
      </c>
      <c r="I99" s="418">
        <v>4</v>
      </c>
      <c r="J99" s="401">
        <f>(I99/$I$131)/_xlfn.XLOOKUP('Scoring Summary'!$D$24,'Response Guidlines'!$D$92:$D$191,'Response Guidlines'!$C$92:$C$191,"",0,1)</f>
        <v>2.7586206896551449E-3</v>
      </c>
      <c r="K99" s="56" t="s">
        <v>831</v>
      </c>
      <c r="L99" s="138">
        <f t="shared" ref="L99" si="33">J99</f>
        <v>2.7586206896551449E-3</v>
      </c>
      <c r="M99" s="745"/>
      <c r="N99" s="668"/>
    </row>
    <row r="100" spans="1:15" ht="20" hidden="1" x14ac:dyDescent="0.2">
      <c r="A100" s="669"/>
      <c r="B100" s="748"/>
      <c r="C100" s="412"/>
      <c r="D100" s="650"/>
      <c r="H100" s="521"/>
      <c r="I100" s="418"/>
      <c r="J100" s="401"/>
      <c r="K100" s="52" t="s">
        <v>832</v>
      </c>
      <c r="L100" s="138">
        <f>L99*0.5</f>
        <v>1.3793103448275724E-3</v>
      </c>
      <c r="M100" s="745"/>
      <c r="N100" s="668"/>
    </row>
    <row r="101" spans="1:15" ht="20.5" hidden="1" x14ac:dyDescent="0.2">
      <c r="A101" s="669"/>
      <c r="B101" s="749"/>
      <c r="C101" s="412"/>
      <c r="D101" s="650"/>
      <c r="H101" s="521"/>
      <c r="I101" s="418"/>
      <c r="J101" s="401"/>
      <c r="K101" s="56" t="s">
        <v>833</v>
      </c>
      <c r="L101" s="138">
        <v>0</v>
      </c>
      <c r="M101" s="745"/>
      <c r="N101" s="668"/>
    </row>
    <row r="102" spans="1:15" ht="16.5" hidden="1" customHeight="1" x14ac:dyDescent="0.2">
      <c r="A102" s="669" t="s">
        <v>834</v>
      </c>
      <c r="B102" s="747" t="s">
        <v>771</v>
      </c>
      <c r="C102" s="412" t="s">
        <v>835</v>
      </c>
      <c r="D102" s="679" t="s">
        <v>836</v>
      </c>
      <c r="H102" s="521" t="s">
        <v>27</v>
      </c>
      <c r="I102" s="418">
        <v>4</v>
      </c>
      <c r="J102" s="401">
        <f>(I102/$I$131)/_xlfn.XLOOKUP('Scoring Summary'!$D$24,'Response Guidlines'!$D$92:$D$191,'Response Guidlines'!$C$92:$C$191,"",0,1)</f>
        <v>2.7586206896551449E-3</v>
      </c>
      <c r="K102" s="56" t="s">
        <v>837</v>
      </c>
      <c r="L102" s="138">
        <f t="shared" ref="L102" si="34">J102</f>
        <v>2.7586206896551449E-3</v>
      </c>
      <c r="M102" s="745"/>
      <c r="N102" s="668"/>
    </row>
    <row r="103" spans="1:15" ht="20" hidden="1" x14ac:dyDescent="0.2">
      <c r="A103" s="669"/>
      <c r="B103" s="748"/>
      <c r="C103" s="412"/>
      <c r="D103" s="650"/>
      <c r="H103" s="521"/>
      <c r="I103" s="418"/>
      <c r="J103" s="401"/>
      <c r="K103" s="52" t="s">
        <v>838</v>
      </c>
      <c r="L103" s="138">
        <f>L102*0.5</f>
        <v>1.3793103448275724E-3</v>
      </c>
      <c r="M103" s="745"/>
      <c r="N103" s="668"/>
    </row>
    <row r="104" spans="1:15" ht="24" hidden="1" customHeight="1" x14ac:dyDescent="0.2">
      <c r="A104" s="669"/>
      <c r="B104" s="749"/>
      <c r="C104" s="412"/>
      <c r="D104" s="650"/>
      <c r="H104" s="521"/>
      <c r="I104" s="418"/>
      <c r="J104" s="401"/>
      <c r="K104" s="56" t="s">
        <v>839</v>
      </c>
      <c r="L104" s="138">
        <v>0</v>
      </c>
      <c r="M104" s="745"/>
      <c r="N104" s="668"/>
    </row>
    <row r="105" spans="1:15" ht="10" hidden="1" x14ac:dyDescent="0.2">
      <c r="A105" s="669" t="s">
        <v>840</v>
      </c>
      <c r="B105" s="747" t="s">
        <v>771</v>
      </c>
      <c r="C105" s="412" t="s">
        <v>841</v>
      </c>
      <c r="D105" s="679" t="s">
        <v>842</v>
      </c>
      <c r="H105" s="521" t="s">
        <v>27</v>
      </c>
      <c r="I105" s="418">
        <v>4</v>
      </c>
      <c r="J105" s="401">
        <f>(I105/$I$131)/_xlfn.XLOOKUP('Scoring Summary'!$D$24,'Response Guidlines'!$D$92:$D$191,'Response Guidlines'!$C$92:$C$191,"",0,1)</f>
        <v>2.7586206896551449E-3</v>
      </c>
      <c r="K105" s="56" t="s">
        <v>843</v>
      </c>
      <c r="L105" s="138">
        <f t="shared" ref="L105" si="35">J105</f>
        <v>2.7586206896551449E-3</v>
      </c>
      <c r="M105" s="745"/>
      <c r="N105" s="668"/>
    </row>
    <row r="106" spans="1:15" ht="20" hidden="1" x14ac:dyDescent="0.2">
      <c r="A106" s="669"/>
      <c r="B106" s="748"/>
      <c r="C106" s="412"/>
      <c r="D106" s="650"/>
      <c r="H106" s="521"/>
      <c r="I106" s="418"/>
      <c r="J106" s="401"/>
      <c r="K106" s="52" t="s">
        <v>844</v>
      </c>
      <c r="L106" s="138">
        <f>L105*0.5</f>
        <v>1.3793103448275724E-3</v>
      </c>
      <c r="M106" s="745"/>
      <c r="N106" s="668"/>
    </row>
    <row r="107" spans="1:15" ht="24.75" hidden="1" customHeight="1" x14ac:dyDescent="0.2">
      <c r="A107" s="669"/>
      <c r="B107" s="749"/>
      <c r="C107" s="412"/>
      <c r="D107" s="650"/>
      <c r="H107" s="521"/>
      <c r="I107" s="418"/>
      <c r="J107" s="401"/>
      <c r="K107" s="56" t="s">
        <v>845</v>
      </c>
      <c r="L107" s="138">
        <v>0</v>
      </c>
      <c r="M107" s="745"/>
      <c r="N107" s="668"/>
    </row>
    <row r="108" spans="1:15" ht="30.75" hidden="1" customHeight="1" x14ac:dyDescent="0.2">
      <c r="A108" s="669" t="s">
        <v>846</v>
      </c>
      <c r="B108" s="747" t="s">
        <v>771</v>
      </c>
      <c r="C108" s="412" t="s">
        <v>946</v>
      </c>
      <c r="D108" s="679" t="s">
        <v>848</v>
      </c>
      <c r="H108" s="521" t="s">
        <v>27</v>
      </c>
      <c r="I108" s="418">
        <v>4</v>
      </c>
      <c r="J108" s="401">
        <f>(I108/$I$131)/_xlfn.XLOOKUP('Scoring Summary'!$D$24,'Response Guidlines'!$D$92:$D$191,'Response Guidlines'!$C$92:$C$191,"",0,1)</f>
        <v>2.7586206896551449E-3</v>
      </c>
      <c r="K108" s="56" t="s">
        <v>849</v>
      </c>
      <c r="L108" s="138">
        <f t="shared" ref="L108" si="36">J108</f>
        <v>2.7586206896551449E-3</v>
      </c>
      <c r="M108" s="745"/>
      <c r="N108" s="668"/>
      <c r="O108" s="756" t="s">
        <v>850</v>
      </c>
    </row>
    <row r="109" spans="1:15" ht="20" hidden="1" x14ac:dyDescent="0.2">
      <c r="A109" s="669"/>
      <c r="B109" s="748"/>
      <c r="C109" s="412"/>
      <c r="D109" s="650"/>
      <c r="H109" s="521"/>
      <c r="I109" s="418"/>
      <c r="J109" s="401"/>
      <c r="K109" s="56" t="s">
        <v>851</v>
      </c>
      <c r="L109" s="138">
        <f>L108*0.5</f>
        <v>1.3793103448275724E-3</v>
      </c>
      <c r="M109" s="745"/>
      <c r="N109" s="668"/>
      <c r="O109" s="750"/>
    </row>
    <row r="110" spans="1:15" ht="104.25" hidden="1" customHeight="1" x14ac:dyDescent="0.2">
      <c r="A110" s="669"/>
      <c r="B110" s="749"/>
      <c r="C110" s="412"/>
      <c r="D110" s="650"/>
      <c r="H110" s="521"/>
      <c r="I110" s="418"/>
      <c r="J110" s="401"/>
      <c r="K110" s="56" t="s">
        <v>947</v>
      </c>
      <c r="L110" s="138">
        <v>0</v>
      </c>
      <c r="M110" s="745"/>
      <c r="N110" s="668"/>
      <c r="O110" s="750"/>
    </row>
    <row r="111" spans="1:15" ht="26.25" hidden="1" customHeight="1" x14ac:dyDescent="0.2">
      <c r="A111" s="669" t="s">
        <v>853</v>
      </c>
      <c r="B111" s="747" t="s">
        <v>771</v>
      </c>
      <c r="C111" s="412" t="s">
        <v>854</v>
      </c>
      <c r="D111" s="679" t="s">
        <v>855</v>
      </c>
      <c r="H111" s="521" t="s">
        <v>27</v>
      </c>
      <c r="I111" s="418">
        <v>4</v>
      </c>
      <c r="J111" s="401">
        <f>(I111/$I$131)/_xlfn.XLOOKUP('Scoring Summary'!$D$24,'Response Guidlines'!$D$92:$D$191,'Response Guidlines'!$C$92:$C$191,"",0,1)</f>
        <v>2.7586206896551449E-3</v>
      </c>
      <c r="K111" s="56" t="s">
        <v>856</v>
      </c>
      <c r="L111" s="138">
        <f t="shared" ref="L111" si="37">J111</f>
        <v>2.7586206896551449E-3</v>
      </c>
      <c r="M111" s="745"/>
      <c r="N111" s="668"/>
      <c r="O111" s="757"/>
    </row>
    <row r="112" spans="1:15" ht="30" hidden="1" x14ac:dyDescent="0.2">
      <c r="A112" s="669"/>
      <c r="B112" s="748"/>
      <c r="C112" s="412"/>
      <c r="D112" s="650"/>
      <c r="H112" s="521"/>
      <c r="I112" s="418"/>
      <c r="J112" s="401"/>
      <c r="K112" s="52" t="s">
        <v>857</v>
      </c>
      <c r="L112" s="138">
        <f>L111*0.5</f>
        <v>1.3793103448275724E-3</v>
      </c>
      <c r="M112" s="745"/>
      <c r="N112" s="668"/>
      <c r="O112" s="746"/>
    </row>
    <row r="113" spans="1:15" ht="26.25" hidden="1" customHeight="1" x14ac:dyDescent="0.2">
      <c r="A113" s="669"/>
      <c r="B113" s="749"/>
      <c r="C113" s="412"/>
      <c r="D113" s="650"/>
      <c r="H113" s="521"/>
      <c r="I113" s="418"/>
      <c r="J113" s="401"/>
      <c r="K113" s="56" t="s">
        <v>858</v>
      </c>
      <c r="L113" s="138">
        <v>0</v>
      </c>
      <c r="M113" s="745"/>
      <c r="N113" s="668"/>
      <c r="O113" s="746"/>
    </row>
    <row r="114" spans="1:15" ht="30" hidden="1" x14ac:dyDescent="0.2">
      <c r="A114" s="669" t="s">
        <v>859</v>
      </c>
      <c r="B114" s="747" t="s">
        <v>771</v>
      </c>
      <c r="C114" s="412" t="s">
        <v>860</v>
      </c>
      <c r="D114" s="679" t="s">
        <v>861</v>
      </c>
      <c r="H114" s="521" t="s">
        <v>27</v>
      </c>
      <c r="I114" s="418">
        <v>4</v>
      </c>
      <c r="J114" s="401">
        <f>(I114/$I$131)/_xlfn.XLOOKUP('Scoring Summary'!$D$24,'Response Guidlines'!$D$92:$D$191,'Response Guidlines'!$C$92:$C$191,"",0,1)</f>
        <v>2.7586206896551449E-3</v>
      </c>
      <c r="K114" s="283" t="s">
        <v>862</v>
      </c>
      <c r="L114" s="138">
        <f t="shared" ref="L114" si="38">J114</f>
        <v>2.7586206896551449E-3</v>
      </c>
      <c r="M114" s="745"/>
      <c r="N114" s="668"/>
      <c r="O114" s="750" t="s">
        <v>794</v>
      </c>
    </row>
    <row r="115" spans="1:15" ht="30" hidden="1" x14ac:dyDescent="0.2">
      <c r="A115" s="669"/>
      <c r="B115" s="748"/>
      <c r="C115" s="412"/>
      <c r="D115" s="650"/>
      <c r="H115" s="521"/>
      <c r="I115" s="418"/>
      <c r="J115" s="401"/>
      <c r="K115" s="52" t="s">
        <v>863</v>
      </c>
      <c r="L115" s="138">
        <f>L114*0.5</f>
        <v>1.3793103448275724E-3</v>
      </c>
      <c r="M115" s="745"/>
      <c r="N115" s="668"/>
      <c r="O115" s="750"/>
    </row>
    <row r="116" spans="1:15" ht="127.5" hidden="1" customHeight="1" x14ac:dyDescent="0.2">
      <c r="A116" s="669"/>
      <c r="B116" s="749"/>
      <c r="C116" s="412"/>
      <c r="D116" s="650"/>
      <c r="H116" s="521"/>
      <c r="I116" s="418"/>
      <c r="J116" s="401"/>
      <c r="K116" s="52" t="s">
        <v>864</v>
      </c>
      <c r="L116" s="138">
        <v>0</v>
      </c>
      <c r="M116" s="745"/>
      <c r="N116" s="668"/>
      <c r="O116" s="750"/>
    </row>
    <row r="117" spans="1:15" ht="35.25" hidden="1" customHeight="1" x14ac:dyDescent="0.2">
      <c r="A117" s="669" t="s">
        <v>865</v>
      </c>
      <c r="B117" s="747" t="s">
        <v>771</v>
      </c>
      <c r="C117" s="412" t="s">
        <v>866</v>
      </c>
      <c r="D117" s="679" t="s">
        <v>867</v>
      </c>
      <c r="H117" s="521" t="s">
        <v>27</v>
      </c>
      <c r="I117" s="418">
        <v>4</v>
      </c>
      <c r="J117" s="401">
        <f>(I117/$I$131)/_xlfn.XLOOKUP('Scoring Summary'!$D$24,'Response Guidlines'!$D$92:$D$191,'Response Guidlines'!$C$92:$C$191,"",0,1)</f>
        <v>2.7586206896551449E-3</v>
      </c>
      <c r="K117" s="283" t="s">
        <v>868</v>
      </c>
      <c r="L117" s="138">
        <f t="shared" ref="L117" si="39">J117</f>
        <v>2.7586206896551449E-3</v>
      </c>
      <c r="M117" s="745"/>
      <c r="N117" s="668"/>
      <c r="O117" s="746"/>
    </row>
    <row r="118" spans="1:15" ht="20" hidden="1" x14ac:dyDescent="0.2">
      <c r="A118" s="669"/>
      <c r="B118" s="748"/>
      <c r="C118" s="412"/>
      <c r="D118" s="650"/>
      <c r="H118" s="521"/>
      <c r="I118" s="418"/>
      <c r="J118" s="401"/>
      <c r="K118" s="52" t="s">
        <v>869</v>
      </c>
      <c r="L118" s="138">
        <f>L117*0.5</f>
        <v>1.3793103448275724E-3</v>
      </c>
      <c r="M118" s="745"/>
      <c r="N118" s="668"/>
      <c r="O118" s="746"/>
    </row>
    <row r="119" spans="1:15" ht="33" hidden="1" customHeight="1" x14ac:dyDescent="0.2">
      <c r="A119" s="669"/>
      <c r="B119" s="749"/>
      <c r="C119" s="412"/>
      <c r="D119" s="650"/>
      <c r="H119" s="521"/>
      <c r="I119" s="418"/>
      <c r="J119" s="401"/>
      <c r="K119" s="52" t="s">
        <v>870</v>
      </c>
      <c r="L119" s="138">
        <v>0</v>
      </c>
      <c r="M119" s="745"/>
      <c r="N119" s="668"/>
      <c r="O119" s="746"/>
    </row>
    <row r="120" spans="1:15" ht="10" x14ac:dyDescent="0.2">
      <c r="A120" s="751" t="s">
        <v>948</v>
      </c>
      <c r="B120" s="747" t="s">
        <v>771</v>
      </c>
      <c r="C120" s="752" t="s">
        <v>949</v>
      </c>
      <c r="D120" s="753" t="s">
        <v>950</v>
      </c>
      <c r="H120" s="521" t="s">
        <v>27</v>
      </c>
      <c r="I120" s="418">
        <v>4</v>
      </c>
      <c r="J120" s="401">
        <f>(I120/$I$131)/_xlfn.XLOOKUP('Scoring Summary'!$D$24,'Response Guidlines'!$D$92:$D$191,'Response Guidlines'!$C$92:$C$191,"",0,1)</f>
        <v>2.7586206896551449E-3</v>
      </c>
      <c r="K120" s="56"/>
      <c r="L120" s="138">
        <f t="shared" ref="L120" si="40">J120</f>
        <v>2.7586206896551449E-3</v>
      </c>
      <c r="M120" s="745"/>
      <c r="N120" s="755" t="s">
        <v>951</v>
      </c>
      <c r="O120" s="750" t="s">
        <v>952</v>
      </c>
    </row>
    <row r="121" spans="1:15" ht="10" x14ac:dyDescent="0.2">
      <c r="A121" s="751"/>
      <c r="B121" s="748"/>
      <c r="C121" s="752"/>
      <c r="D121" s="754"/>
      <c r="H121" s="521"/>
      <c r="I121" s="418"/>
      <c r="J121" s="401"/>
      <c r="K121" s="56"/>
      <c r="L121" s="138">
        <f t="shared" ref="L121" si="41">L120*0.75</f>
        <v>2.0689655172413586E-3</v>
      </c>
      <c r="M121" s="745"/>
      <c r="N121" s="755"/>
      <c r="O121" s="750"/>
    </row>
    <row r="122" spans="1:15" ht="10" x14ac:dyDescent="0.2">
      <c r="A122" s="751"/>
      <c r="B122" s="748"/>
      <c r="C122" s="752"/>
      <c r="D122" s="754"/>
      <c r="H122" s="521"/>
      <c r="I122" s="418"/>
      <c r="J122" s="401"/>
      <c r="K122" s="52"/>
      <c r="L122" s="138">
        <f t="shared" ref="L122" si="42">L120*0.5</f>
        <v>1.3793103448275724E-3</v>
      </c>
      <c r="M122" s="745"/>
      <c r="N122" s="755"/>
      <c r="O122" s="750"/>
    </row>
    <row r="123" spans="1:15" ht="10" x14ac:dyDescent="0.2">
      <c r="A123" s="751"/>
      <c r="B123" s="748"/>
      <c r="C123" s="752"/>
      <c r="D123" s="754"/>
      <c r="H123" s="521"/>
      <c r="I123" s="418"/>
      <c r="J123" s="401"/>
      <c r="K123" s="52"/>
      <c r="L123" s="138">
        <f t="shared" ref="L123" si="43">L120*0.25</f>
        <v>6.8965517241378622E-4</v>
      </c>
      <c r="M123" s="745"/>
      <c r="N123" s="755"/>
      <c r="O123" s="750"/>
    </row>
    <row r="124" spans="1:15" ht="183" customHeight="1" x14ac:dyDescent="0.2">
      <c r="A124" s="751"/>
      <c r="B124" s="749"/>
      <c r="C124" s="752"/>
      <c r="D124" s="754"/>
      <c r="H124" s="521"/>
      <c r="I124" s="418"/>
      <c r="J124" s="401"/>
      <c r="K124" s="56"/>
      <c r="L124" s="138">
        <v>0</v>
      </c>
      <c r="M124" s="745"/>
      <c r="N124" s="755"/>
      <c r="O124" s="750"/>
    </row>
    <row r="125" spans="1:15" ht="90" hidden="1" customHeight="1" x14ac:dyDescent="0.2">
      <c r="A125" s="669" t="s">
        <v>871</v>
      </c>
      <c r="B125" s="747" t="s">
        <v>771</v>
      </c>
      <c r="C125" s="412" t="s">
        <v>872</v>
      </c>
      <c r="D125" s="679" t="s">
        <v>873</v>
      </c>
      <c r="H125" s="521" t="s">
        <v>27</v>
      </c>
      <c r="I125" s="418">
        <v>4</v>
      </c>
      <c r="J125" s="401">
        <f>(I125/$I$131)/_xlfn.XLOOKUP('Scoring Summary'!$D$24,'Response Guidlines'!$D$92:$D$191,'Response Guidlines'!$C$92:$C$191,"",0,1)</f>
        <v>2.7586206896551449E-3</v>
      </c>
      <c r="K125" s="283" t="s">
        <v>874</v>
      </c>
      <c r="L125" s="138">
        <f t="shared" ref="L125" si="44">J125</f>
        <v>2.7586206896551449E-3</v>
      </c>
      <c r="M125" s="745"/>
      <c r="N125" s="668"/>
      <c r="O125" s="746"/>
    </row>
    <row r="126" spans="1:15" ht="20" hidden="1" x14ac:dyDescent="0.2">
      <c r="A126" s="669"/>
      <c r="B126" s="748"/>
      <c r="C126" s="412"/>
      <c r="D126" s="650"/>
      <c r="H126" s="521"/>
      <c r="I126" s="418"/>
      <c r="J126" s="401"/>
      <c r="K126" s="52" t="s">
        <v>875</v>
      </c>
      <c r="L126" s="138">
        <f>L125*0.5</f>
        <v>1.3793103448275724E-3</v>
      </c>
      <c r="M126" s="745"/>
      <c r="N126" s="668"/>
      <c r="O126" s="746"/>
    </row>
    <row r="127" spans="1:15" ht="32.25" hidden="1" customHeight="1" x14ac:dyDescent="0.2">
      <c r="A127" s="669"/>
      <c r="B127" s="749"/>
      <c r="C127" s="412"/>
      <c r="D127" s="650"/>
      <c r="H127" s="521"/>
      <c r="I127" s="418"/>
      <c r="J127" s="401"/>
      <c r="K127" s="52" t="s">
        <v>876</v>
      </c>
      <c r="L127" s="138">
        <v>0</v>
      </c>
      <c r="M127" s="745"/>
      <c r="N127" s="668"/>
      <c r="O127" s="746"/>
    </row>
    <row r="128" spans="1:15" ht="90" hidden="1" customHeight="1" x14ac:dyDescent="0.2">
      <c r="A128" s="669" t="s">
        <v>877</v>
      </c>
      <c r="B128" s="747" t="s">
        <v>771</v>
      </c>
      <c r="C128" s="412" t="s">
        <v>878</v>
      </c>
      <c r="D128" s="679" t="s">
        <v>879</v>
      </c>
      <c r="H128" s="521" t="s">
        <v>27</v>
      </c>
      <c r="I128" s="418">
        <v>4</v>
      </c>
      <c r="J128" s="401">
        <f>(I128/$I$131)/_xlfn.XLOOKUP('Scoring Summary'!$D$24,'Response Guidlines'!$D$92:$D$191,'Response Guidlines'!$C$92:$C$191,"",0,1)</f>
        <v>2.7586206896551449E-3</v>
      </c>
      <c r="K128" s="283" t="s">
        <v>880</v>
      </c>
      <c r="L128" s="138">
        <f t="shared" ref="L128" si="45">J128</f>
        <v>2.7586206896551449E-3</v>
      </c>
      <c r="M128" s="745"/>
      <c r="N128" s="668"/>
      <c r="O128" s="750" t="s">
        <v>881</v>
      </c>
    </row>
    <row r="129" spans="1:15" ht="30" hidden="1" x14ac:dyDescent="0.2">
      <c r="A129" s="669"/>
      <c r="B129" s="748"/>
      <c r="C129" s="412"/>
      <c r="D129" s="650"/>
      <c r="H129" s="521"/>
      <c r="I129" s="418"/>
      <c r="J129" s="401"/>
      <c r="K129" s="52" t="s">
        <v>953</v>
      </c>
      <c r="L129" s="138">
        <f t="shared" ref="L129" si="46">L128*0.5</f>
        <v>1.3793103448275724E-3</v>
      </c>
      <c r="M129" s="745"/>
      <c r="N129" s="668"/>
      <c r="O129" s="750"/>
    </row>
    <row r="130" spans="1:15" ht="105" hidden="1" customHeight="1" thickBot="1" x14ac:dyDescent="0.25">
      <c r="A130" s="669"/>
      <c r="B130" s="749"/>
      <c r="C130" s="412"/>
      <c r="D130" s="650"/>
      <c r="H130" s="521"/>
      <c r="I130" s="418"/>
      <c r="J130" s="401"/>
      <c r="K130" s="52" t="s">
        <v>954</v>
      </c>
      <c r="L130" s="138">
        <v>0</v>
      </c>
      <c r="M130" s="745"/>
      <c r="N130" s="668"/>
      <c r="O130" s="750"/>
    </row>
    <row r="131" spans="1:15" ht="11" hidden="1" thickBot="1" x14ac:dyDescent="0.25">
      <c r="A131" s="144"/>
      <c r="B131" s="148"/>
      <c r="C131" s="82" t="s">
        <v>138</v>
      </c>
      <c r="D131" s="82"/>
      <c r="E131" s="82"/>
      <c r="F131" s="82"/>
      <c r="G131" s="82"/>
      <c r="H131" s="82"/>
      <c r="I131" s="145">
        <f>SUM(I17:I130)</f>
        <v>145</v>
      </c>
      <c r="J131" s="84">
        <f>SUM(J17:J130)</f>
        <v>9.9999999999998937E-2</v>
      </c>
      <c r="K131" s="478" t="s">
        <v>139</v>
      </c>
      <c r="L131" s="479"/>
      <c r="M131" s="50">
        <f>SUM(M17:M71)</f>
        <v>0</v>
      </c>
      <c r="N131" s="81"/>
    </row>
  </sheetData>
  <autoFilter ref="A15:O131" xr:uid="{2FBF2F56-C637-452D-A438-B1FA63BFE9F3}">
    <filterColumn colId="0">
      <colorFilter dxfId="4"/>
    </filterColumn>
    <filterColumn colId="1" showButton="0"/>
    <filterColumn colId="2" showButton="0"/>
    <filterColumn colId="4" showButton="0"/>
    <filterColumn colId="5" showButton="0"/>
  </autoFilter>
  <mergeCells count="410">
    <mergeCell ref="F2:H4"/>
    <mergeCell ref="A15:A16"/>
    <mergeCell ref="B15:D15"/>
    <mergeCell ref="E15:G15"/>
    <mergeCell ref="A17:A18"/>
    <mergeCell ref="B17:B18"/>
    <mergeCell ref="C17:C18"/>
    <mergeCell ref="D17:D18"/>
    <mergeCell ref="E17:E18"/>
    <mergeCell ref="F17:F18"/>
    <mergeCell ref="O17:O18"/>
    <mergeCell ref="A19:A20"/>
    <mergeCell ref="B19:B20"/>
    <mergeCell ref="C19:C20"/>
    <mergeCell ref="D19:D20"/>
    <mergeCell ref="E19:E20"/>
    <mergeCell ref="F19:F20"/>
    <mergeCell ref="G19:G20"/>
    <mergeCell ref="H19:H20"/>
    <mergeCell ref="I19:I20"/>
    <mergeCell ref="G17:G18"/>
    <mergeCell ref="H17:H18"/>
    <mergeCell ref="I17:I18"/>
    <mergeCell ref="J17:J18"/>
    <mergeCell ref="M17:M18"/>
    <mergeCell ref="N17:N18"/>
    <mergeCell ref="J19:J20"/>
    <mergeCell ref="M19:M20"/>
    <mergeCell ref="N19:N20"/>
    <mergeCell ref="O19:O20"/>
    <mergeCell ref="A21:A25"/>
    <mergeCell ref="B21:B25"/>
    <mergeCell ref="C21:C25"/>
    <mergeCell ref="D21:D25"/>
    <mergeCell ref="E21:E25"/>
    <mergeCell ref="F21:F25"/>
    <mergeCell ref="O21:O25"/>
    <mergeCell ref="A26:A28"/>
    <mergeCell ref="B26:B28"/>
    <mergeCell ref="C26:C28"/>
    <mergeCell ref="D26:D28"/>
    <mergeCell ref="E26:E28"/>
    <mergeCell ref="F26:F28"/>
    <mergeCell ref="G26:G28"/>
    <mergeCell ref="H26:H28"/>
    <mergeCell ref="I26:I28"/>
    <mergeCell ref="G21:G25"/>
    <mergeCell ref="H21:H25"/>
    <mergeCell ref="I21:I25"/>
    <mergeCell ref="J21:J25"/>
    <mergeCell ref="M21:M25"/>
    <mergeCell ref="N21:N25"/>
    <mergeCell ref="J26:J28"/>
    <mergeCell ref="M26:M28"/>
    <mergeCell ref="F31:F33"/>
    <mergeCell ref="G31:G33"/>
    <mergeCell ref="H31:H33"/>
    <mergeCell ref="I31:I33"/>
    <mergeCell ref="N26:N28"/>
    <mergeCell ref="O26:O28"/>
    <mergeCell ref="A29:A30"/>
    <mergeCell ref="B29:B30"/>
    <mergeCell ref="C29:C30"/>
    <mergeCell ref="D29:D30"/>
    <mergeCell ref="E29:E30"/>
    <mergeCell ref="F29:F30"/>
    <mergeCell ref="O29:O30"/>
    <mergeCell ref="G29:G30"/>
    <mergeCell ref="H29:H30"/>
    <mergeCell ref="I29:I30"/>
    <mergeCell ref="J29:J30"/>
    <mergeCell ref="M29:M30"/>
    <mergeCell ref="N29:N30"/>
    <mergeCell ref="H37:H38"/>
    <mergeCell ref="I37:I38"/>
    <mergeCell ref="J31:J33"/>
    <mergeCell ref="M31:M33"/>
    <mergeCell ref="N31:N33"/>
    <mergeCell ref="O31:O33"/>
    <mergeCell ref="A34:A36"/>
    <mergeCell ref="B34:B36"/>
    <mergeCell ref="C34:C36"/>
    <mergeCell ref="D34:D36"/>
    <mergeCell ref="E34:E36"/>
    <mergeCell ref="F34:F36"/>
    <mergeCell ref="O34:O36"/>
    <mergeCell ref="G34:G36"/>
    <mergeCell ref="H34:H36"/>
    <mergeCell ref="I34:I36"/>
    <mergeCell ref="J34:J36"/>
    <mergeCell ref="M34:M36"/>
    <mergeCell ref="N34:N36"/>
    <mergeCell ref="A31:A33"/>
    <mergeCell ref="B31:B33"/>
    <mergeCell ref="C31:C33"/>
    <mergeCell ref="D31:D33"/>
    <mergeCell ref="E31:E33"/>
    <mergeCell ref="J37:J38"/>
    <mergeCell ref="M37:M38"/>
    <mergeCell ref="N37:N38"/>
    <mergeCell ref="O37:O38"/>
    <mergeCell ref="A39:A40"/>
    <mergeCell ref="B39:B40"/>
    <mergeCell ref="C39:C40"/>
    <mergeCell ref="D39:D40"/>
    <mergeCell ref="E39:E40"/>
    <mergeCell ref="F39:F40"/>
    <mergeCell ref="O39:O40"/>
    <mergeCell ref="G39:G40"/>
    <mergeCell ref="H39:H40"/>
    <mergeCell ref="I39:I40"/>
    <mergeCell ref="J39:J40"/>
    <mergeCell ref="M39:M40"/>
    <mergeCell ref="N39:N40"/>
    <mergeCell ref="A37:A38"/>
    <mergeCell ref="B37:B38"/>
    <mergeCell ref="C37:C38"/>
    <mergeCell ref="D37:D38"/>
    <mergeCell ref="E37:E38"/>
    <mergeCell ref="F37:F38"/>
    <mergeCell ref="G37:G38"/>
    <mergeCell ref="O41:O42"/>
    <mergeCell ref="A43:A46"/>
    <mergeCell ref="B43:B46"/>
    <mergeCell ref="C43:C46"/>
    <mergeCell ref="D43:D46"/>
    <mergeCell ref="E43:E46"/>
    <mergeCell ref="F43:F46"/>
    <mergeCell ref="O43:O46"/>
    <mergeCell ref="G43:G46"/>
    <mergeCell ref="H43:H46"/>
    <mergeCell ref="I43:I46"/>
    <mergeCell ref="J43:J46"/>
    <mergeCell ref="M43:M46"/>
    <mergeCell ref="N43:N46"/>
    <mergeCell ref="A41:A42"/>
    <mergeCell ref="B41:B42"/>
    <mergeCell ref="C41:C42"/>
    <mergeCell ref="D41:D42"/>
    <mergeCell ref="E41:E42"/>
    <mergeCell ref="F41:F42"/>
    <mergeCell ref="G41:G42"/>
    <mergeCell ref="H41:H42"/>
    <mergeCell ref="I41:I42"/>
    <mergeCell ref="D47:D49"/>
    <mergeCell ref="E47:E49"/>
    <mergeCell ref="F47:F49"/>
    <mergeCell ref="G47:G49"/>
    <mergeCell ref="H47:H49"/>
    <mergeCell ref="I47:I49"/>
    <mergeCell ref="J41:J42"/>
    <mergeCell ref="M41:M42"/>
    <mergeCell ref="N41:N42"/>
    <mergeCell ref="F53:F56"/>
    <mergeCell ref="G53:G56"/>
    <mergeCell ref="H53:H56"/>
    <mergeCell ref="I53:I56"/>
    <mergeCell ref="J47:J49"/>
    <mergeCell ref="M47:M49"/>
    <mergeCell ref="N47:N49"/>
    <mergeCell ref="O47:O49"/>
    <mergeCell ref="A50:A52"/>
    <mergeCell ref="B50:B52"/>
    <mergeCell ref="C50:C52"/>
    <mergeCell ref="D50:D52"/>
    <mergeCell ref="E50:E52"/>
    <mergeCell ref="F50:F52"/>
    <mergeCell ref="O50:O52"/>
    <mergeCell ref="G50:G52"/>
    <mergeCell ref="H50:H52"/>
    <mergeCell ref="I50:I52"/>
    <mergeCell ref="J50:J52"/>
    <mergeCell ref="M50:M52"/>
    <mergeCell ref="N50:N52"/>
    <mergeCell ref="A47:A49"/>
    <mergeCell ref="B47:B49"/>
    <mergeCell ref="C47:C49"/>
    <mergeCell ref="H60:H62"/>
    <mergeCell ref="I60:I62"/>
    <mergeCell ref="J53:J56"/>
    <mergeCell ref="M53:M56"/>
    <mergeCell ref="N53:N56"/>
    <mergeCell ref="O53:O56"/>
    <mergeCell ref="A57:A59"/>
    <mergeCell ref="B57:B59"/>
    <mergeCell ref="C57:C59"/>
    <mergeCell ref="D57:D59"/>
    <mergeCell ref="E57:E59"/>
    <mergeCell ref="F57:F59"/>
    <mergeCell ref="O57:O59"/>
    <mergeCell ref="G57:G59"/>
    <mergeCell ref="H57:H59"/>
    <mergeCell ref="I57:I59"/>
    <mergeCell ref="J57:J59"/>
    <mergeCell ref="M57:M59"/>
    <mergeCell ref="N57:N59"/>
    <mergeCell ref="A53:A56"/>
    <mergeCell ref="B53:B56"/>
    <mergeCell ref="C53:C56"/>
    <mergeCell ref="D53:D56"/>
    <mergeCell ref="E53:E56"/>
    <mergeCell ref="J60:J62"/>
    <mergeCell ref="M60:M62"/>
    <mergeCell ref="N60:N62"/>
    <mergeCell ref="O60:O62"/>
    <mergeCell ref="A63:A68"/>
    <mergeCell ref="B63:B68"/>
    <mergeCell ref="C63:C68"/>
    <mergeCell ref="D63:D68"/>
    <mergeCell ref="E63:E68"/>
    <mergeCell ref="F63:F68"/>
    <mergeCell ref="O63:O68"/>
    <mergeCell ref="G63:G68"/>
    <mergeCell ref="H63:H68"/>
    <mergeCell ref="I63:I68"/>
    <mergeCell ref="J63:J68"/>
    <mergeCell ref="M63:M68"/>
    <mergeCell ref="N63:N68"/>
    <mergeCell ref="A60:A62"/>
    <mergeCell ref="B60:B62"/>
    <mergeCell ref="C60:C62"/>
    <mergeCell ref="D60:D62"/>
    <mergeCell ref="E60:E62"/>
    <mergeCell ref="F60:F62"/>
    <mergeCell ref="G60:G62"/>
    <mergeCell ref="J69:J71"/>
    <mergeCell ref="M69:M71"/>
    <mergeCell ref="N69:N71"/>
    <mergeCell ref="O69:O71"/>
    <mergeCell ref="A72:A74"/>
    <mergeCell ref="B72:B74"/>
    <mergeCell ref="C72:C74"/>
    <mergeCell ref="D72:D74"/>
    <mergeCell ref="H72:H74"/>
    <mergeCell ref="I72:I74"/>
    <mergeCell ref="J72:J74"/>
    <mergeCell ref="M72:M74"/>
    <mergeCell ref="N72:N74"/>
    <mergeCell ref="A69:A71"/>
    <mergeCell ref="B69:B71"/>
    <mergeCell ref="C69:C71"/>
    <mergeCell ref="D69:D71"/>
    <mergeCell ref="E69:E71"/>
    <mergeCell ref="F69:F71"/>
    <mergeCell ref="G69:G71"/>
    <mergeCell ref="H69:H71"/>
    <mergeCell ref="I69:I71"/>
    <mergeCell ref="O75:O79"/>
    <mergeCell ref="A80:A82"/>
    <mergeCell ref="B80:B82"/>
    <mergeCell ref="C80:C82"/>
    <mergeCell ref="D80:D82"/>
    <mergeCell ref="H80:H82"/>
    <mergeCell ref="I80:I82"/>
    <mergeCell ref="J80:J82"/>
    <mergeCell ref="M80:M82"/>
    <mergeCell ref="N80:N82"/>
    <mergeCell ref="A75:A79"/>
    <mergeCell ref="B75:B79"/>
    <mergeCell ref="C75:C79"/>
    <mergeCell ref="D75:D79"/>
    <mergeCell ref="H75:H79"/>
    <mergeCell ref="I75:I79"/>
    <mergeCell ref="J75:J79"/>
    <mergeCell ref="M75:M79"/>
    <mergeCell ref="N75:N79"/>
    <mergeCell ref="A83:A85"/>
    <mergeCell ref="B83:B85"/>
    <mergeCell ref="C83:C85"/>
    <mergeCell ref="D83:D85"/>
    <mergeCell ref="H83:H85"/>
    <mergeCell ref="I83:I85"/>
    <mergeCell ref="J83:J85"/>
    <mergeCell ref="M83:M85"/>
    <mergeCell ref="N83:N85"/>
    <mergeCell ref="A86:A89"/>
    <mergeCell ref="B86:B89"/>
    <mergeCell ref="C86:C89"/>
    <mergeCell ref="D86:D89"/>
    <mergeCell ref="H86:H89"/>
    <mergeCell ref="I86:I89"/>
    <mergeCell ref="J86:J89"/>
    <mergeCell ref="M86:M89"/>
    <mergeCell ref="N86:N89"/>
    <mergeCell ref="J90:J92"/>
    <mergeCell ref="M90:M92"/>
    <mergeCell ref="N90:N92"/>
    <mergeCell ref="O90:O92"/>
    <mergeCell ref="A93:A95"/>
    <mergeCell ref="B93:B95"/>
    <mergeCell ref="C93:C95"/>
    <mergeCell ref="D93:D95"/>
    <mergeCell ref="H93:H95"/>
    <mergeCell ref="I93:I95"/>
    <mergeCell ref="A90:A92"/>
    <mergeCell ref="B90:B92"/>
    <mergeCell ref="C90:C92"/>
    <mergeCell ref="D90:D92"/>
    <mergeCell ref="H90:H92"/>
    <mergeCell ref="I90:I92"/>
    <mergeCell ref="J93:J95"/>
    <mergeCell ref="M93:M95"/>
    <mergeCell ref="N93:N95"/>
    <mergeCell ref="A96:A98"/>
    <mergeCell ref="B96:B98"/>
    <mergeCell ref="C96:C98"/>
    <mergeCell ref="D96:D98"/>
    <mergeCell ref="H96:H98"/>
    <mergeCell ref="I96:I98"/>
    <mergeCell ref="J96:J98"/>
    <mergeCell ref="M96:M98"/>
    <mergeCell ref="N96:N98"/>
    <mergeCell ref="A99:A101"/>
    <mergeCell ref="B99:B101"/>
    <mergeCell ref="C99:C101"/>
    <mergeCell ref="D99:D101"/>
    <mergeCell ref="H99:H101"/>
    <mergeCell ref="I99:I101"/>
    <mergeCell ref="J99:J101"/>
    <mergeCell ref="M99:M101"/>
    <mergeCell ref="N99:N101"/>
    <mergeCell ref="A102:A104"/>
    <mergeCell ref="B102:B104"/>
    <mergeCell ref="C102:C104"/>
    <mergeCell ref="D102:D104"/>
    <mergeCell ref="H102:H104"/>
    <mergeCell ref="I102:I104"/>
    <mergeCell ref="J102:J104"/>
    <mergeCell ref="M102:M104"/>
    <mergeCell ref="N102:N104"/>
    <mergeCell ref="J105:J107"/>
    <mergeCell ref="M105:M107"/>
    <mergeCell ref="N105:N107"/>
    <mergeCell ref="A108:A110"/>
    <mergeCell ref="B108:B110"/>
    <mergeCell ref="C108:C110"/>
    <mergeCell ref="D108:D110"/>
    <mergeCell ref="H108:H110"/>
    <mergeCell ref="I108:I110"/>
    <mergeCell ref="J108:J110"/>
    <mergeCell ref="A105:A107"/>
    <mergeCell ref="B105:B107"/>
    <mergeCell ref="C105:C107"/>
    <mergeCell ref="D105:D107"/>
    <mergeCell ref="H105:H107"/>
    <mergeCell ref="I105:I107"/>
    <mergeCell ref="M108:M110"/>
    <mergeCell ref="N108:N110"/>
    <mergeCell ref="O108:O110"/>
    <mergeCell ref="A111:A113"/>
    <mergeCell ref="B111:B113"/>
    <mergeCell ref="C111:C113"/>
    <mergeCell ref="D111:D113"/>
    <mergeCell ref="H111:H113"/>
    <mergeCell ref="I111:I113"/>
    <mergeCell ref="J111:J113"/>
    <mergeCell ref="M111:M113"/>
    <mergeCell ref="N111:N113"/>
    <mergeCell ref="O111:O113"/>
    <mergeCell ref="O114:O116"/>
    <mergeCell ref="A117:A119"/>
    <mergeCell ref="B117:B119"/>
    <mergeCell ref="C117:C119"/>
    <mergeCell ref="D117:D119"/>
    <mergeCell ref="H117:H119"/>
    <mergeCell ref="I117:I119"/>
    <mergeCell ref="J117:J119"/>
    <mergeCell ref="M117:M119"/>
    <mergeCell ref="N117:N119"/>
    <mergeCell ref="O117:O119"/>
    <mergeCell ref="A114:A116"/>
    <mergeCell ref="B114:B116"/>
    <mergeCell ref="C114:C116"/>
    <mergeCell ref="D114:D116"/>
    <mergeCell ref="H114:H116"/>
    <mergeCell ref="I114:I116"/>
    <mergeCell ref="J114:J116"/>
    <mergeCell ref="M114:M116"/>
    <mergeCell ref="N114:N116"/>
    <mergeCell ref="O120:O124"/>
    <mergeCell ref="A125:A127"/>
    <mergeCell ref="B125:B127"/>
    <mergeCell ref="C125:C127"/>
    <mergeCell ref="D125:D127"/>
    <mergeCell ref="H125:H127"/>
    <mergeCell ref="I125:I127"/>
    <mergeCell ref="J125:J127"/>
    <mergeCell ref="M128:M130"/>
    <mergeCell ref="N128:N130"/>
    <mergeCell ref="O128:O130"/>
    <mergeCell ref="A120:A124"/>
    <mergeCell ref="B120:B124"/>
    <mergeCell ref="C120:C124"/>
    <mergeCell ref="D120:D124"/>
    <mergeCell ref="H120:H124"/>
    <mergeCell ref="I120:I124"/>
    <mergeCell ref="J120:J124"/>
    <mergeCell ref="M120:M124"/>
    <mergeCell ref="N120:N124"/>
    <mergeCell ref="K131:L131"/>
    <mergeCell ref="M125:M127"/>
    <mergeCell ref="N125:N127"/>
    <mergeCell ref="O125:O127"/>
    <mergeCell ref="A128:A130"/>
    <mergeCell ref="B128:B130"/>
    <mergeCell ref="C128:C130"/>
    <mergeCell ref="D128:D130"/>
    <mergeCell ref="H128:H130"/>
    <mergeCell ref="I128:I130"/>
    <mergeCell ref="J128:J130"/>
  </mergeCells>
  <conditionalFormatting sqref="O87:O89">
    <cfRule type="duplicateValues" dxfId="0" priority="1"/>
  </conditionalFormatting>
  <dataValidations count="19">
    <dataValidation type="list" allowBlank="1" showInputMessage="1" showErrorMessage="1" sqref="E60:E62" xr:uid="{C1E385D2-0CE0-4920-B2A6-4F3550A3681B}">
      <formula1>$K$60:$K$62</formula1>
    </dataValidation>
    <dataValidation type="list" allowBlank="1" showInputMessage="1" showErrorMessage="1" sqref="E57:E59" xr:uid="{E0692883-2373-4214-814D-E9ACCD8E1E35}">
      <formula1>$K$57:$K$59</formula1>
    </dataValidation>
    <dataValidation type="list" allowBlank="1" showInputMessage="1" showErrorMessage="1" sqref="E53:E56" xr:uid="{E2573608-60A5-4A9C-93A2-B4D09263D0CE}">
      <formula1>$K$53:$K$56</formula1>
    </dataValidation>
    <dataValidation type="list" allowBlank="1" showInputMessage="1" showErrorMessage="1" sqref="E50:E52" xr:uid="{1C26290E-C2E3-48D3-8B8E-F4429A7CC376}">
      <formula1>$K$50:$K$52</formula1>
    </dataValidation>
    <dataValidation type="list" allowBlank="1" showInputMessage="1" showErrorMessage="1" sqref="E47:E49" xr:uid="{B759ED08-364E-439E-B354-BA5D1F17D65B}">
      <formula1>$K$47:$K$49</formula1>
    </dataValidation>
    <dataValidation type="list" allowBlank="1" showInputMessage="1" showErrorMessage="1" sqref="E43:E46" xr:uid="{53362946-C5A4-45C6-AC3D-B2FBE8F4A36A}">
      <formula1>$K$43:$K$46</formula1>
    </dataValidation>
    <dataValidation type="list" allowBlank="1" showInputMessage="1" showErrorMessage="1" sqref="E41:E42" xr:uid="{095F29C4-0D0B-4F85-9A18-755CF841DC9C}">
      <formula1>$K$41:$K$42</formula1>
    </dataValidation>
    <dataValidation type="list" allowBlank="1" showInputMessage="1" showErrorMessage="1" sqref="E39:E40" xr:uid="{ADB0F4A4-81F7-4024-9958-B4D95A5BE1CD}">
      <formula1>$K$39:$K$40</formula1>
    </dataValidation>
    <dataValidation type="list" allowBlank="1" showInputMessage="1" showErrorMessage="1" sqref="E37:E38" xr:uid="{5B2E7E4F-7947-4077-9F24-A4F06139BF97}">
      <formula1>$K$37:$K$38</formula1>
    </dataValidation>
    <dataValidation type="list" allowBlank="1" showInputMessage="1" showErrorMessage="1" sqref="E34:E36" xr:uid="{A782E009-ADEF-431B-A20D-7EA1927847FA}">
      <formula1>$K$34:$K$36</formula1>
    </dataValidation>
    <dataValidation type="list" allowBlank="1" showInputMessage="1" showErrorMessage="1" sqref="E31:E33" xr:uid="{870BC7A3-9F64-4BD3-8648-923E172829A5}">
      <formula1>$K$31:$K$33</formula1>
    </dataValidation>
    <dataValidation type="list" allowBlank="1" showInputMessage="1" showErrorMessage="1" sqref="E29:E30" xr:uid="{E3F74ACF-43B1-4E00-BD4B-7EDFDECD41C0}">
      <formula1>$K$29:$K$30</formula1>
    </dataValidation>
    <dataValidation type="list" allowBlank="1" showInputMessage="1" showErrorMessage="1" sqref="E26:E28" xr:uid="{59703117-05CE-4BE8-81C1-04EFF6E56E0F}">
      <formula1>$K$26:$K$28</formula1>
    </dataValidation>
    <dataValidation type="list" allowBlank="1" showInputMessage="1" showErrorMessage="1" sqref="E19:E20" xr:uid="{78445ED8-7170-47F5-9316-27C6224D5C50}">
      <formula1>$K$19:$K$20</formula1>
    </dataValidation>
    <dataValidation type="list" allowBlank="1" showInputMessage="1" showErrorMessage="1" sqref="E17:E18" xr:uid="{B7C8FE52-0208-4D94-8586-8B1855384FFB}">
      <formula1>$K$17:$K$18</formula1>
    </dataValidation>
    <dataValidation type="list" allowBlank="1" showInputMessage="1" showErrorMessage="1" sqref="M69:M71" xr:uid="{B17F6856-7E53-4804-8B9A-3B653DD08909}">
      <formula1>$L$69:$L$71</formula1>
    </dataValidation>
    <dataValidation type="list" allowBlank="1" showInputMessage="1" showErrorMessage="1" sqref="E69:E71" xr:uid="{BCC41B4A-3BB0-4677-A717-17FB87974EBE}">
      <formula1>$K$69:$K$71</formula1>
    </dataValidation>
    <dataValidation type="list" allowBlank="1" showInputMessage="1" showErrorMessage="1" sqref="E21:E25" xr:uid="{0490B7C9-1215-46F4-BDB1-3225BFB5E01B}">
      <formula1>$K$21:$K$25</formula1>
    </dataValidation>
    <dataValidation type="list" allowBlank="1" showInputMessage="1" showErrorMessage="1" sqref="E63:E68" xr:uid="{E5573612-C194-41DE-A2ED-563CE1E00842}">
      <formula1>$K$63:$K$68</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492560F-807B-4CA5-B489-16944C1B9035}">
          <x14:formula1>
            <xm:f>'Response Guidlines'!$D$81:$D$87</xm:f>
          </x14:formula1>
          <xm:sqref>H17:H130</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B4F21-DDC1-45B1-87BE-3DBD629D3C95}">
  <sheetPr>
    <tabColor rgb="FFC97A00"/>
    <pageSetUpPr fitToPage="1"/>
  </sheetPr>
  <dimension ref="A1:N67"/>
  <sheetViews>
    <sheetView zoomScaleNormal="100" workbookViewId="0">
      <selection activeCell="D12" sqref="D12:D13"/>
    </sheetView>
  </sheetViews>
  <sheetFormatPr defaultColWidth="9.26953125" defaultRowHeight="10.5" x14ac:dyDescent="0.25"/>
  <cols>
    <col min="1" max="2" width="11.7265625" style="19" customWidth="1"/>
    <col min="3" max="3" width="53.26953125" style="18" customWidth="1"/>
    <col min="4" max="4" width="44.7265625" style="18" customWidth="1"/>
    <col min="5" max="5" width="14.26953125" style="18" customWidth="1"/>
    <col min="6" max="6" width="13.26953125" style="18" customWidth="1"/>
    <col min="7" max="7" width="10.453125" style="17" customWidth="1"/>
    <col min="8" max="8" width="46.7265625" style="16" customWidth="1"/>
    <col min="9" max="9" width="5.26953125" style="15" customWidth="1"/>
    <col min="10" max="10" width="8.26953125" style="13" customWidth="1"/>
    <col min="11" max="11" width="35.26953125" style="14" customWidth="1"/>
    <col min="12" max="12" width="8.54296875" style="13" customWidth="1"/>
    <col min="13" max="13" width="9.26953125" style="13"/>
    <col min="14" max="14" width="22.453125" style="13" customWidth="1"/>
    <col min="15" max="16384" width="9.26953125" style="13"/>
  </cols>
  <sheetData>
    <row r="1" spans="1:11" x14ac:dyDescent="0.25">
      <c r="C1" s="76"/>
      <c r="D1" s="76"/>
      <c r="E1" s="76"/>
      <c r="F1" s="76"/>
    </row>
    <row r="2" spans="1:11" ht="15.5" x14ac:dyDescent="0.35">
      <c r="C2" s="11" t="s">
        <v>51</v>
      </c>
      <c r="D2" s="12" t="str">
        <f>'Scoring Summary'!C2</f>
        <v>&lt;insert before tender publication&gt;</v>
      </c>
      <c r="E2" s="75"/>
      <c r="F2" s="390" t="s">
        <v>955</v>
      </c>
      <c r="G2" s="390"/>
      <c r="H2" s="390"/>
      <c r="I2" s="390"/>
      <c r="J2" s="390"/>
      <c r="K2" s="46"/>
    </row>
    <row r="3" spans="1:11" ht="28" x14ac:dyDescent="0.35">
      <c r="C3" s="11" t="s">
        <v>54</v>
      </c>
      <c r="D3" s="116" t="str">
        <f>'Scoring Summary'!C3</f>
        <v>IT00641 Dx Commercial Energy Trader (Dx CET)</v>
      </c>
      <c r="E3" s="75"/>
      <c r="F3" s="390"/>
      <c r="G3" s="390"/>
      <c r="H3" s="390"/>
      <c r="I3" s="390"/>
      <c r="J3" s="390"/>
      <c r="K3" s="46"/>
    </row>
    <row r="4" spans="1:11" ht="15.5" x14ac:dyDescent="0.35">
      <c r="C4" s="11" t="s">
        <v>956</v>
      </c>
      <c r="D4" s="347">
        <f>'Scoring Summary'!E30</f>
        <v>0.6</v>
      </c>
      <c r="E4" s="75"/>
      <c r="F4" s="390"/>
      <c r="G4" s="390"/>
      <c r="H4" s="390"/>
      <c r="I4" s="390"/>
      <c r="J4" s="390"/>
      <c r="K4" s="46"/>
    </row>
    <row r="5" spans="1:11" ht="15.5" x14ac:dyDescent="0.35">
      <c r="C5" s="11" t="s">
        <v>84</v>
      </c>
      <c r="D5" s="10" t="str">
        <f>'Scoring Summary'!C5</f>
        <v>&lt;Evaluator to complete&gt;</v>
      </c>
      <c r="E5" s="75"/>
      <c r="F5" s="46"/>
      <c r="G5" s="46"/>
      <c r="H5" s="46"/>
      <c r="I5" s="46"/>
      <c r="J5" s="46"/>
      <c r="K5" s="46"/>
    </row>
    <row r="6" spans="1:11" ht="15.5" x14ac:dyDescent="0.35">
      <c r="C6" s="11" t="s">
        <v>58</v>
      </c>
      <c r="D6" s="10" t="str">
        <f>'Scoring Summary'!C6</f>
        <v>&lt;Evaluator to complete&gt;</v>
      </c>
      <c r="E6" s="46"/>
      <c r="F6" s="46"/>
      <c r="G6" s="46"/>
      <c r="H6" s="46"/>
      <c r="I6" s="46"/>
      <c r="J6" s="46"/>
      <c r="K6" s="46"/>
    </row>
    <row r="7" spans="1:11" ht="15.5" x14ac:dyDescent="0.35">
      <c r="C7" s="11" t="s">
        <v>59</v>
      </c>
      <c r="D7" s="10" t="str">
        <f>'Scoring Summary'!C7</f>
        <v>&lt;Evaluator to complete&gt;</v>
      </c>
      <c r="E7" s="46"/>
      <c r="F7" s="46"/>
      <c r="G7" s="46"/>
      <c r="H7" s="46"/>
      <c r="I7" s="46"/>
      <c r="J7" s="46"/>
      <c r="K7" s="46"/>
    </row>
    <row r="8" spans="1:11" ht="15.5" x14ac:dyDescent="0.35">
      <c r="C8" s="11" t="s">
        <v>60</v>
      </c>
      <c r="D8" s="10"/>
      <c r="E8" s="46"/>
      <c r="F8" s="46"/>
      <c r="G8" s="46"/>
      <c r="H8" s="46"/>
      <c r="I8" s="46"/>
      <c r="J8" s="46"/>
      <c r="K8" s="46"/>
    </row>
    <row r="9" spans="1:11" ht="16.5" customHeight="1" thickBot="1" x14ac:dyDescent="0.25">
      <c r="C9" s="30"/>
      <c r="D9" s="30"/>
      <c r="E9" s="30"/>
      <c r="F9" s="30"/>
      <c r="G9" s="30"/>
      <c r="H9" s="466" t="s">
        <v>1275</v>
      </c>
      <c r="I9" s="467"/>
      <c r="J9" s="467"/>
      <c r="K9" s="468"/>
    </row>
    <row r="10" spans="1:11" ht="15" customHeight="1" x14ac:dyDescent="0.2">
      <c r="A10" s="447" t="s">
        <v>85</v>
      </c>
      <c r="B10" s="449" t="s">
        <v>86</v>
      </c>
      <c r="C10" s="730"/>
      <c r="D10" s="502"/>
      <c r="E10" s="775"/>
      <c r="F10" s="776"/>
      <c r="G10" s="342" t="s">
        <v>88</v>
      </c>
      <c r="H10" s="73"/>
      <c r="I10" s="72"/>
      <c r="J10" s="72"/>
      <c r="K10" s="71"/>
    </row>
    <row r="11" spans="1:11" s="49" customFormat="1" ht="79.150000000000006" customHeight="1" thickBot="1" x14ac:dyDescent="0.4">
      <c r="A11" s="448"/>
      <c r="B11" s="149" t="s">
        <v>168</v>
      </c>
      <c r="C11" s="70" t="s">
        <v>89</v>
      </c>
      <c r="D11" s="372" t="s">
        <v>957</v>
      </c>
      <c r="E11" s="150" t="s">
        <v>92</v>
      </c>
      <c r="F11" s="64" t="s">
        <v>93</v>
      </c>
      <c r="G11" s="63" t="s">
        <v>94</v>
      </c>
      <c r="H11" s="62" t="s">
        <v>95</v>
      </c>
      <c r="I11" s="315" t="s">
        <v>96</v>
      </c>
      <c r="J11" s="316" t="s">
        <v>67</v>
      </c>
      <c r="K11" s="59" t="s">
        <v>68</v>
      </c>
    </row>
    <row r="12" spans="1:11" s="49" customFormat="1" ht="20.5" x14ac:dyDescent="0.35">
      <c r="A12" s="576" t="s">
        <v>958</v>
      </c>
      <c r="B12" s="545" t="s">
        <v>181</v>
      </c>
      <c r="C12" s="444" t="s">
        <v>959</v>
      </c>
      <c r="D12" s="569" t="s">
        <v>960</v>
      </c>
      <c r="E12" s="481" t="s">
        <v>24</v>
      </c>
      <c r="F12" s="433">
        <f>IF(E12='Response Guidlines'!$D$81,'Response Guidlines'!$C$81, IF(E12='Response Guidlines'!$D$82,'Response Guidlines'!$C$82,IF(E12='Response Guidlines'!$D$83,'Response Guidlines'!$C$83,IF(E12='Response Guidlines'!$D$84,'Response Guidlines'!$C$84,IF(E12='Response Guidlines'!$D$85,'Response Guidlines'!$C$85,IF(E12='Response Guidlines'!$D$86,'Response Guidlines'!$C$86,IF(E12='Response Guidlines'!$D$87,'Response Guidlines'!$C$87,"No Rating")))))))</f>
        <v>1</v>
      </c>
      <c r="G12" s="773">
        <f>(F12/$F$47)/_xlfn.XLOOKUP('Scoring Summary'!$D$30,'Response Guidlines'!$D$92:$D$191,'Response Guidlines'!$C$92:$C$191,"",0,1)</f>
        <v>2.8571428571428571E-2</v>
      </c>
      <c r="H12" s="56" t="s">
        <v>961</v>
      </c>
      <c r="I12" s="136">
        <f>G12</f>
        <v>2.8571428571428571E-2</v>
      </c>
      <c r="J12" s="522">
        <v>0</v>
      </c>
      <c r="K12" s="569"/>
    </row>
    <row r="13" spans="1:11" s="49" customFormat="1" ht="60.5" x14ac:dyDescent="0.35">
      <c r="A13" s="440"/>
      <c r="B13" s="600"/>
      <c r="C13" s="444"/>
      <c r="D13" s="569"/>
      <c r="E13" s="481"/>
      <c r="F13" s="433"/>
      <c r="G13" s="773"/>
      <c r="H13" s="57" t="s">
        <v>962</v>
      </c>
      <c r="I13" s="139">
        <v>0</v>
      </c>
      <c r="J13" s="522"/>
      <c r="K13" s="569"/>
    </row>
    <row r="14" spans="1:11" s="49" customFormat="1" ht="20.5" x14ac:dyDescent="0.35">
      <c r="A14" s="771" t="s">
        <v>963</v>
      </c>
      <c r="B14" s="600" t="s">
        <v>181</v>
      </c>
      <c r="C14" s="446" t="s">
        <v>964</v>
      </c>
      <c r="D14" s="424" t="s">
        <v>965</v>
      </c>
      <c r="E14" s="480" t="s">
        <v>28</v>
      </c>
      <c r="F14" s="432">
        <f>IF(E14='Response Guidlines'!$D$81,'Response Guidlines'!$C$81, IF(E14='Response Guidlines'!$D$82,'Response Guidlines'!$C$82,IF(E14='Response Guidlines'!$D$83,'Response Guidlines'!$C$83,IF(E14='Response Guidlines'!$D$84,'Response Guidlines'!$C$84,IF(E14='Response Guidlines'!$D$85,'Response Guidlines'!$C$85,IF(E14='Response Guidlines'!$D$86,'Response Guidlines'!$C$86,IF(E14='Response Guidlines'!$D$87,'Response Guidlines'!$C$87,"No Rating")))))))</f>
        <v>5</v>
      </c>
      <c r="G14" s="774">
        <f>(F14/$F$47)/_xlfn.XLOOKUP('Scoring Summary'!$D$30,'Response Guidlines'!$D$92:$D$191,'Response Guidlines'!$C$92:$C$191,"",0,1)</f>
        <v>0.14285714285714285</v>
      </c>
      <c r="H14" s="52" t="s">
        <v>966</v>
      </c>
      <c r="I14" s="138">
        <f>G14</f>
        <v>0.14285714285714285</v>
      </c>
      <c r="J14" s="436">
        <v>0</v>
      </c>
      <c r="K14" s="424"/>
    </row>
    <row r="15" spans="1:11" s="49" customFormat="1" ht="20.5" x14ac:dyDescent="0.35">
      <c r="A15" s="777"/>
      <c r="B15" s="600"/>
      <c r="C15" s="444"/>
      <c r="D15" s="569"/>
      <c r="E15" s="481"/>
      <c r="F15" s="433"/>
      <c r="G15" s="773"/>
      <c r="H15" s="57" t="s">
        <v>967</v>
      </c>
      <c r="I15" s="138">
        <f>G14*0.666</f>
        <v>9.514285714285714E-2</v>
      </c>
      <c r="J15" s="522"/>
      <c r="K15" s="569"/>
    </row>
    <row r="16" spans="1:11" s="49" customFormat="1" ht="31" x14ac:dyDescent="0.35">
      <c r="A16" s="777"/>
      <c r="B16" s="600"/>
      <c r="C16" s="444"/>
      <c r="D16" s="569"/>
      <c r="E16" s="481"/>
      <c r="F16" s="433"/>
      <c r="G16" s="773"/>
      <c r="H16" s="57" t="s">
        <v>968</v>
      </c>
      <c r="I16" s="139">
        <f>G14*0.333</f>
        <v>4.757142857142857E-2</v>
      </c>
      <c r="J16" s="522"/>
      <c r="K16" s="569"/>
    </row>
    <row r="17" spans="1:11" s="49" customFormat="1" ht="108" customHeight="1" x14ac:dyDescent="0.35">
      <c r="A17" s="772"/>
      <c r="B17" s="600"/>
      <c r="C17" s="445"/>
      <c r="D17" s="438"/>
      <c r="E17" s="492"/>
      <c r="F17" s="434"/>
      <c r="G17" s="420"/>
      <c r="H17" s="52" t="s">
        <v>969</v>
      </c>
      <c r="I17" s="138">
        <v>0</v>
      </c>
      <c r="J17" s="523"/>
      <c r="K17" s="438"/>
    </row>
    <row r="18" spans="1:11" s="49" customFormat="1" ht="31.5" x14ac:dyDescent="0.35">
      <c r="A18" s="771" t="s">
        <v>970</v>
      </c>
      <c r="B18" s="600" t="s">
        <v>214</v>
      </c>
      <c r="C18" s="446" t="s">
        <v>971</v>
      </c>
      <c r="D18" s="424" t="s">
        <v>972</v>
      </c>
      <c r="E18" s="480" t="s">
        <v>24</v>
      </c>
      <c r="F18" s="432">
        <f>IF(E18='Response Guidlines'!$D$81,'Response Guidlines'!$C$81, IF(E18='Response Guidlines'!$D$82,'Response Guidlines'!$C$82,IF(E18='Response Guidlines'!$D$83,'Response Guidlines'!$C$83,IF(E18='Response Guidlines'!$D$84,'Response Guidlines'!$C$84,IF(E18='Response Guidlines'!$D$85,'Response Guidlines'!$C$85,IF(E18='Response Guidlines'!$D$86,'Response Guidlines'!$C$86,IF(E18='Response Guidlines'!$D$87,'Response Guidlines'!$C$87,"No Rating")))))))</f>
        <v>1</v>
      </c>
      <c r="G18" s="774">
        <f>(F18/$F$47)/_xlfn.XLOOKUP('Scoring Summary'!$D$30,'Response Guidlines'!$D$92:$D$191,'Response Guidlines'!$C$92:$C$191,"",0,1)</f>
        <v>2.8571428571428571E-2</v>
      </c>
      <c r="H18" s="52" t="s">
        <v>973</v>
      </c>
      <c r="I18" s="138">
        <f>G18</f>
        <v>2.8571428571428571E-2</v>
      </c>
      <c r="J18" s="436">
        <v>0</v>
      </c>
      <c r="K18" s="424"/>
    </row>
    <row r="19" spans="1:11" s="49" customFormat="1" ht="21" x14ac:dyDescent="0.35">
      <c r="A19" s="772"/>
      <c r="B19" s="600"/>
      <c r="C19" s="445"/>
      <c r="D19" s="438"/>
      <c r="E19" s="492"/>
      <c r="F19" s="434"/>
      <c r="G19" s="420"/>
      <c r="H19" s="57" t="s">
        <v>974</v>
      </c>
      <c r="I19" s="138">
        <v>0</v>
      </c>
      <c r="J19" s="523"/>
      <c r="K19" s="438"/>
    </row>
    <row r="20" spans="1:11" s="49" customFormat="1" ht="21" x14ac:dyDescent="0.35">
      <c r="A20" s="771" t="s">
        <v>975</v>
      </c>
      <c r="B20" s="600" t="s">
        <v>214</v>
      </c>
      <c r="C20" s="446" t="s">
        <v>976</v>
      </c>
      <c r="D20" s="424" t="s">
        <v>977</v>
      </c>
      <c r="E20" s="480" t="s">
        <v>24</v>
      </c>
      <c r="F20" s="432">
        <f>IF(E20='Response Guidlines'!$D$81,'Response Guidlines'!$C$81, IF(E20='Response Guidlines'!$D$82,'Response Guidlines'!$C$82,IF(E20='Response Guidlines'!$D$83,'Response Guidlines'!$C$83,IF(E20='Response Guidlines'!$D$84,'Response Guidlines'!$C$84,IF(E20='Response Guidlines'!$D$85,'Response Guidlines'!$C$85,IF(E20='Response Guidlines'!$D$86,'Response Guidlines'!$C$86,IF(E20='Response Guidlines'!$D$87,'Response Guidlines'!$C$87,"No Rating")))))))</f>
        <v>1</v>
      </c>
      <c r="G20" s="774">
        <f>(F20/$F$47)/_xlfn.XLOOKUP('Scoring Summary'!$D$30,'Response Guidlines'!$D$92:$D$191,'Response Guidlines'!$C$92:$C$191,"",0,1)</f>
        <v>2.8571428571428571E-2</v>
      </c>
      <c r="H20" s="52" t="s">
        <v>978</v>
      </c>
      <c r="I20" s="138">
        <f>G20</f>
        <v>2.8571428571428571E-2</v>
      </c>
      <c r="J20" s="436">
        <v>0</v>
      </c>
      <c r="K20" s="424"/>
    </row>
    <row r="21" spans="1:11" s="49" customFormat="1" ht="21" x14ac:dyDescent="0.35">
      <c r="A21" s="772"/>
      <c r="B21" s="600"/>
      <c r="C21" s="445"/>
      <c r="D21" s="438"/>
      <c r="E21" s="492"/>
      <c r="F21" s="434"/>
      <c r="G21" s="420"/>
      <c r="H21" s="57" t="s">
        <v>974</v>
      </c>
      <c r="I21" s="138">
        <v>0</v>
      </c>
      <c r="J21" s="523"/>
      <c r="K21" s="438"/>
    </row>
    <row r="22" spans="1:11" s="49" customFormat="1" ht="21" x14ac:dyDescent="0.35">
      <c r="A22" s="771" t="s">
        <v>979</v>
      </c>
      <c r="B22" s="600" t="s">
        <v>214</v>
      </c>
      <c r="C22" s="446" t="s">
        <v>980</v>
      </c>
      <c r="D22" s="424" t="s">
        <v>981</v>
      </c>
      <c r="E22" s="480" t="s">
        <v>24</v>
      </c>
      <c r="F22" s="432">
        <f>IF(E22='Response Guidlines'!$D$81,'Response Guidlines'!$C$81, IF(E22='Response Guidlines'!$D$82,'Response Guidlines'!$C$82,IF(E22='Response Guidlines'!$D$83,'Response Guidlines'!$C$83,IF(E22='Response Guidlines'!$D$84,'Response Guidlines'!$C$84,IF(E22='Response Guidlines'!$D$85,'Response Guidlines'!$C$85,IF(E22='Response Guidlines'!$D$86,'Response Guidlines'!$C$86,IF(E22='Response Guidlines'!$D$87,'Response Guidlines'!$C$87,"No Rating")))))))</f>
        <v>1</v>
      </c>
      <c r="G22" s="774">
        <f>(F22/$F$47)/_xlfn.XLOOKUP('Scoring Summary'!$D$30,'Response Guidlines'!$D$92:$D$191,'Response Guidlines'!$C$92:$C$191,"",0,1)</f>
        <v>2.8571428571428571E-2</v>
      </c>
      <c r="H22" s="52" t="s">
        <v>982</v>
      </c>
      <c r="I22" s="138">
        <f>G22</f>
        <v>2.8571428571428571E-2</v>
      </c>
      <c r="J22" s="436">
        <v>0</v>
      </c>
      <c r="K22" s="424"/>
    </row>
    <row r="23" spans="1:11" s="49" customFormat="1" ht="21" x14ac:dyDescent="0.35">
      <c r="A23" s="772"/>
      <c r="B23" s="600"/>
      <c r="C23" s="445"/>
      <c r="D23" s="438"/>
      <c r="E23" s="492"/>
      <c r="F23" s="434"/>
      <c r="G23" s="420"/>
      <c r="H23" s="57" t="s">
        <v>974</v>
      </c>
      <c r="I23" s="138">
        <v>0</v>
      </c>
      <c r="J23" s="523"/>
      <c r="K23" s="438"/>
    </row>
    <row r="24" spans="1:11" s="49" customFormat="1" ht="21" x14ac:dyDescent="0.35">
      <c r="A24" s="771" t="s">
        <v>983</v>
      </c>
      <c r="B24" s="600" t="s">
        <v>214</v>
      </c>
      <c r="C24" s="446" t="s">
        <v>984</v>
      </c>
      <c r="D24" s="424" t="s">
        <v>985</v>
      </c>
      <c r="E24" s="480" t="s">
        <v>24</v>
      </c>
      <c r="F24" s="432">
        <f>IF(E24='Response Guidlines'!$D$81,'Response Guidlines'!$C$81, IF(E24='Response Guidlines'!$D$82,'Response Guidlines'!$C$82,IF(E24='Response Guidlines'!$D$83,'Response Guidlines'!$C$83,IF(E24='Response Guidlines'!$D$84,'Response Guidlines'!$C$84,IF(E24='Response Guidlines'!$D$85,'Response Guidlines'!$C$85,IF(E24='Response Guidlines'!$D$86,'Response Guidlines'!$C$86,IF(E24='Response Guidlines'!$D$87,'Response Guidlines'!$C$87,"No Rating")))))))</f>
        <v>1</v>
      </c>
      <c r="G24" s="774">
        <f>(F24/$F$47)/_xlfn.XLOOKUP('Scoring Summary'!$D$30,'Response Guidlines'!$D$92:$D$191,'Response Guidlines'!$C$92:$C$191,"",0,1)</f>
        <v>2.8571428571428571E-2</v>
      </c>
      <c r="H24" s="52" t="s">
        <v>986</v>
      </c>
      <c r="I24" s="138">
        <f>G24</f>
        <v>2.8571428571428571E-2</v>
      </c>
      <c r="J24" s="436">
        <v>0</v>
      </c>
      <c r="K24" s="424"/>
    </row>
    <row r="25" spans="1:11" s="49" customFormat="1" ht="21" x14ac:dyDescent="0.35">
      <c r="A25" s="772"/>
      <c r="B25" s="600"/>
      <c r="C25" s="445"/>
      <c r="D25" s="438"/>
      <c r="E25" s="492"/>
      <c r="F25" s="434"/>
      <c r="G25" s="420"/>
      <c r="H25" s="57" t="s">
        <v>974</v>
      </c>
      <c r="I25" s="138">
        <v>0</v>
      </c>
      <c r="J25" s="523"/>
      <c r="K25" s="438"/>
    </row>
    <row r="26" spans="1:11" s="49" customFormat="1" ht="21" x14ac:dyDescent="0.35">
      <c r="A26" s="771" t="s">
        <v>987</v>
      </c>
      <c r="B26" s="600" t="s">
        <v>214</v>
      </c>
      <c r="C26" s="446" t="s">
        <v>988</v>
      </c>
      <c r="D26" s="424" t="s">
        <v>989</v>
      </c>
      <c r="E26" s="480" t="s">
        <v>24</v>
      </c>
      <c r="F26" s="432">
        <f>IF(E26='Response Guidlines'!$D$81,'Response Guidlines'!$C$81, IF(E26='Response Guidlines'!$D$82,'Response Guidlines'!$C$82,IF(E26='Response Guidlines'!$D$83,'Response Guidlines'!$C$83,IF(E26='Response Guidlines'!$D$84,'Response Guidlines'!$C$84,IF(E26='Response Guidlines'!$D$85,'Response Guidlines'!$C$85,IF(E26='Response Guidlines'!$D$86,'Response Guidlines'!$C$86,IF(E26='Response Guidlines'!$D$87,'Response Guidlines'!$C$87,"No Rating")))))))</f>
        <v>1</v>
      </c>
      <c r="G26" s="774">
        <f>(F26/$F$47)/_xlfn.XLOOKUP('Scoring Summary'!$D$30,'Response Guidlines'!$D$92:$D$191,'Response Guidlines'!$C$92:$C$191,"",0,1)</f>
        <v>2.8571428571428571E-2</v>
      </c>
      <c r="H26" s="52" t="s">
        <v>990</v>
      </c>
      <c r="I26" s="138">
        <f>G26</f>
        <v>2.8571428571428571E-2</v>
      </c>
      <c r="J26" s="436">
        <v>0</v>
      </c>
      <c r="K26" s="424"/>
    </row>
    <row r="27" spans="1:11" s="49" customFormat="1" ht="21" x14ac:dyDescent="0.35">
      <c r="A27" s="772"/>
      <c r="B27" s="600"/>
      <c r="C27" s="445"/>
      <c r="D27" s="438"/>
      <c r="E27" s="492"/>
      <c r="F27" s="434"/>
      <c r="G27" s="420"/>
      <c r="H27" s="57" t="s">
        <v>974</v>
      </c>
      <c r="I27" s="138">
        <v>0</v>
      </c>
      <c r="J27" s="523"/>
      <c r="K27" s="438"/>
    </row>
    <row r="28" spans="1:11" s="49" customFormat="1" ht="21" x14ac:dyDescent="0.35">
      <c r="A28" s="771" t="s">
        <v>991</v>
      </c>
      <c r="B28" s="600" t="s">
        <v>214</v>
      </c>
      <c r="C28" s="446" t="s">
        <v>992</v>
      </c>
      <c r="D28" s="424" t="s">
        <v>993</v>
      </c>
      <c r="E28" s="480" t="s">
        <v>24</v>
      </c>
      <c r="F28" s="432">
        <f>IF(E28='Response Guidlines'!$D$81,'Response Guidlines'!$C$81, IF(E28='Response Guidlines'!$D$82,'Response Guidlines'!$C$82,IF(E28='Response Guidlines'!$D$83,'Response Guidlines'!$C$83,IF(E28='Response Guidlines'!$D$84,'Response Guidlines'!$C$84,IF(E28='Response Guidlines'!$D$85,'Response Guidlines'!$C$85,IF(E28='Response Guidlines'!$D$86,'Response Guidlines'!$C$86,IF(E28='Response Guidlines'!$D$87,'Response Guidlines'!$C$87,"No Rating")))))))</f>
        <v>1</v>
      </c>
      <c r="G28" s="774">
        <f>(F28/$F$47)/_xlfn.XLOOKUP('Scoring Summary'!$D$30,'Response Guidlines'!$D$92:$D$191,'Response Guidlines'!$C$92:$C$191,"",0,1)</f>
        <v>2.8571428571428571E-2</v>
      </c>
      <c r="H28" s="52" t="s">
        <v>994</v>
      </c>
      <c r="I28" s="138">
        <f>G28</f>
        <v>2.8571428571428571E-2</v>
      </c>
      <c r="J28" s="436">
        <v>0</v>
      </c>
      <c r="K28" s="424"/>
    </row>
    <row r="29" spans="1:11" s="49" customFormat="1" ht="21" x14ac:dyDescent="0.35">
      <c r="A29" s="772"/>
      <c r="B29" s="600"/>
      <c r="C29" s="445"/>
      <c r="D29" s="438"/>
      <c r="E29" s="492"/>
      <c r="F29" s="434"/>
      <c r="G29" s="420"/>
      <c r="H29" s="57" t="s">
        <v>974</v>
      </c>
      <c r="I29" s="138">
        <v>0</v>
      </c>
      <c r="J29" s="523"/>
      <c r="K29" s="438"/>
    </row>
    <row r="30" spans="1:11" s="49" customFormat="1" ht="21" x14ac:dyDescent="0.35">
      <c r="A30" s="771" t="s">
        <v>995</v>
      </c>
      <c r="B30" s="600" t="s">
        <v>214</v>
      </c>
      <c r="C30" s="446" t="s">
        <v>996</v>
      </c>
      <c r="D30" s="424" t="s">
        <v>997</v>
      </c>
      <c r="E30" s="480" t="s">
        <v>24</v>
      </c>
      <c r="F30" s="432">
        <f>IF(E30='Response Guidlines'!$D$81,'Response Guidlines'!$C$81, IF(E30='Response Guidlines'!$D$82,'Response Guidlines'!$C$82,IF(E30='Response Guidlines'!$D$83,'Response Guidlines'!$C$83,IF(E30='Response Guidlines'!$D$84,'Response Guidlines'!$C$84,IF(E30='Response Guidlines'!$D$85,'Response Guidlines'!$C$85,IF(E30='Response Guidlines'!$D$86,'Response Guidlines'!$C$86,IF(E30='Response Guidlines'!$D$87,'Response Guidlines'!$C$87,"No Rating")))))))</f>
        <v>1</v>
      </c>
      <c r="G30" s="774">
        <f>(F30/$F$47)/_xlfn.XLOOKUP('Scoring Summary'!$D$30,'Response Guidlines'!$D$92:$D$191,'Response Guidlines'!$C$92:$C$191,"",0,1)</f>
        <v>2.8571428571428571E-2</v>
      </c>
      <c r="H30" s="52" t="s">
        <v>998</v>
      </c>
      <c r="I30" s="138">
        <f>G30</f>
        <v>2.8571428571428571E-2</v>
      </c>
      <c r="J30" s="436">
        <v>0</v>
      </c>
      <c r="K30" s="424"/>
    </row>
    <row r="31" spans="1:11" s="49" customFormat="1" ht="21" x14ac:dyDescent="0.35">
      <c r="A31" s="772"/>
      <c r="B31" s="600"/>
      <c r="C31" s="445"/>
      <c r="D31" s="438"/>
      <c r="E31" s="492"/>
      <c r="F31" s="434"/>
      <c r="G31" s="420"/>
      <c r="H31" s="57" t="s">
        <v>974</v>
      </c>
      <c r="I31" s="138">
        <v>0</v>
      </c>
      <c r="J31" s="523"/>
      <c r="K31" s="438"/>
    </row>
    <row r="32" spans="1:11" s="49" customFormat="1" ht="21" x14ac:dyDescent="0.35">
      <c r="A32" s="771" t="s">
        <v>999</v>
      </c>
      <c r="B32" s="600" t="s">
        <v>214</v>
      </c>
      <c r="C32" s="446" t="s">
        <v>1000</v>
      </c>
      <c r="D32" s="424" t="s">
        <v>1001</v>
      </c>
      <c r="E32" s="480" t="s">
        <v>24</v>
      </c>
      <c r="F32" s="432">
        <f>IF(E32='Response Guidlines'!$D$81,'Response Guidlines'!$C$81, IF(E32='Response Guidlines'!$D$82,'Response Guidlines'!$C$82,IF(E32='Response Guidlines'!$D$83,'Response Guidlines'!$C$83,IF(E32='Response Guidlines'!$D$84,'Response Guidlines'!$C$84,IF(E32='Response Guidlines'!$D$85,'Response Guidlines'!$C$85,IF(E32='Response Guidlines'!$D$86,'Response Guidlines'!$C$86,IF(E32='Response Guidlines'!$D$87,'Response Guidlines'!$C$87,"No Rating")))))))</f>
        <v>1</v>
      </c>
      <c r="G32" s="774">
        <f>(F32/$F$47)/_xlfn.XLOOKUP('Scoring Summary'!$D$30,'Response Guidlines'!$D$92:$D$191,'Response Guidlines'!$C$92:$C$191,"",0,1)</f>
        <v>2.8571428571428571E-2</v>
      </c>
      <c r="H32" s="52" t="s">
        <v>1002</v>
      </c>
      <c r="I32" s="138">
        <f>G32</f>
        <v>2.8571428571428571E-2</v>
      </c>
      <c r="J32" s="436">
        <v>0</v>
      </c>
      <c r="K32" s="424"/>
    </row>
    <row r="33" spans="1:14" s="49" customFormat="1" ht="21" x14ac:dyDescent="0.35">
      <c r="A33" s="772"/>
      <c r="B33" s="600"/>
      <c r="C33" s="445"/>
      <c r="D33" s="438"/>
      <c r="E33" s="492"/>
      <c r="F33" s="434"/>
      <c r="G33" s="420"/>
      <c r="H33" s="57" t="s">
        <v>974</v>
      </c>
      <c r="I33" s="138">
        <v>0</v>
      </c>
      <c r="J33" s="523"/>
      <c r="K33" s="438"/>
    </row>
    <row r="34" spans="1:14" s="49" customFormat="1" ht="21" x14ac:dyDescent="0.35">
      <c r="A34" s="771" t="s">
        <v>1003</v>
      </c>
      <c r="B34" s="600" t="s">
        <v>181</v>
      </c>
      <c r="C34" s="445" t="s">
        <v>1004</v>
      </c>
      <c r="D34" s="424" t="s">
        <v>1005</v>
      </c>
      <c r="E34" s="480" t="s">
        <v>27</v>
      </c>
      <c r="F34" s="432">
        <f>IF(E34='Response Guidlines'!$D$81,'Response Guidlines'!$C$81, IF(E34='Response Guidlines'!$D$82,'Response Guidlines'!$C$82,IF(E34='Response Guidlines'!$D$83,'Response Guidlines'!$C$83,IF(E34='Response Guidlines'!$D$84,'Response Guidlines'!$C$84,IF(E34='Response Guidlines'!$D$85,'Response Guidlines'!$C$85,IF(E34='Response Guidlines'!$D$86,'Response Guidlines'!$C$86,IF(E34='Response Guidlines'!$D$87,'Response Guidlines'!$C$87,"No Rating")))))))</f>
        <v>4</v>
      </c>
      <c r="G34" s="774">
        <f>(F34/$F$47)/_xlfn.XLOOKUP('Scoring Summary'!$D$30,'Response Guidlines'!$D$92:$D$191,'Response Guidlines'!$C$92:$C$191,"",0,1)</f>
        <v>0.11428571428571428</v>
      </c>
      <c r="H34" s="52" t="s">
        <v>1006</v>
      </c>
      <c r="I34" s="136">
        <f>G34</f>
        <v>0.11428571428571428</v>
      </c>
      <c r="J34" s="436">
        <v>0</v>
      </c>
      <c r="K34" s="424"/>
    </row>
    <row r="35" spans="1:14" s="49" customFormat="1" ht="69.75" customHeight="1" x14ac:dyDescent="0.35">
      <c r="A35" s="772"/>
      <c r="B35" s="600"/>
      <c r="C35" s="412"/>
      <c r="D35" s="438"/>
      <c r="E35" s="492"/>
      <c r="F35" s="434"/>
      <c r="G35" s="420"/>
      <c r="H35" s="57" t="s">
        <v>974</v>
      </c>
      <c r="I35" s="138">
        <v>0</v>
      </c>
      <c r="J35" s="523"/>
      <c r="K35" s="438"/>
    </row>
    <row r="36" spans="1:14" s="49" customFormat="1" ht="20.5" customHeight="1" x14ac:dyDescent="0.35">
      <c r="A36" s="576" t="s">
        <v>1007</v>
      </c>
      <c r="B36" s="631" t="s">
        <v>181</v>
      </c>
      <c r="C36" s="446" t="s">
        <v>1008</v>
      </c>
      <c r="D36" s="424" t="s">
        <v>1009</v>
      </c>
      <c r="E36" s="480" t="s">
        <v>28</v>
      </c>
      <c r="F36" s="432">
        <f>IF(E36='Response Guidlines'!$D$81,'Response Guidlines'!$C$81, IF(E36='Response Guidlines'!$D$82,'Response Guidlines'!$C$82,IF(E36='Response Guidlines'!$D$83,'Response Guidlines'!$C$83,IF(E36='Response Guidlines'!$D$84,'Response Guidlines'!$C$84,IF(E36='Response Guidlines'!$D$85,'Response Guidlines'!$C$85,IF(E36='Response Guidlines'!$D$86,'Response Guidlines'!$C$86,IF(E36='Response Guidlines'!$D$87,'Response Guidlines'!$C$87,"No Rating")))))))</f>
        <v>5</v>
      </c>
      <c r="G36" s="774">
        <f>(F36/$F$47)/_xlfn.XLOOKUP('Scoring Summary'!$D$30,'Response Guidlines'!$D$92:$D$191,'Response Guidlines'!$C$92:$C$191,"",0,1)</f>
        <v>0.14285714285714285</v>
      </c>
      <c r="H36" s="272" t="s">
        <v>1010</v>
      </c>
      <c r="I36" s="136"/>
      <c r="J36" s="436">
        <v>0</v>
      </c>
      <c r="K36" s="424"/>
    </row>
    <row r="37" spans="1:14" s="49" customFormat="1" ht="20" x14ac:dyDescent="0.35">
      <c r="A37" s="439"/>
      <c r="B37" s="544"/>
      <c r="C37" s="444"/>
      <c r="D37" s="569"/>
      <c r="E37" s="481"/>
      <c r="F37" s="433"/>
      <c r="G37" s="773"/>
      <c r="H37" s="52" t="s">
        <v>1011</v>
      </c>
      <c r="I37" s="136">
        <f>$G$36*0.65/2</f>
        <v>4.642857142857143E-2</v>
      </c>
      <c r="J37" s="522"/>
      <c r="K37" s="569"/>
    </row>
    <row r="38" spans="1:14" s="49" customFormat="1" ht="20" x14ac:dyDescent="0.35">
      <c r="A38" s="439"/>
      <c r="B38" s="544"/>
      <c r="C38" s="444"/>
      <c r="D38" s="569"/>
      <c r="E38" s="481"/>
      <c r="F38" s="433"/>
      <c r="G38" s="773"/>
      <c r="H38" s="52" t="s">
        <v>1012</v>
      </c>
      <c r="I38" s="136">
        <f>$G$36*0.65/2</f>
        <v>4.642857142857143E-2</v>
      </c>
      <c r="J38" s="522"/>
      <c r="K38" s="569"/>
      <c r="M38" s="203"/>
      <c r="N38" s="203"/>
    </row>
    <row r="39" spans="1:14" s="49" customFormat="1" ht="20" x14ac:dyDescent="0.35">
      <c r="A39" s="439"/>
      <c r="B39" s="544"/>
      <c r="C39" s="444"/>
      <c r="D39" s="569"/>
      <c r="E39" s="481"/>
      <c r="F39" s="433"/>
      <c r="G39" s="773"/>
      <c r="H39" s="57" t="s">
        <v>1013</v>
      </c>
      <c r="I39" s="136">
        <f>$G$36*0.35/2</f>
        <v>2.4999999999999998E-2</v>
      </c>
      <c r="J39" s="522"/>
      <c r="K39" s="569"/>
      <c r="M39" s="203"/>
      <c r="N39" s="203"/>
    </row>
    <row r="40" spans="1:14" s="49" customFormat="1" ht="20" x14ac:dyDescent="0.35">
      <c r="A40" s="440"/>
      <c r="B40" s="545"/>
      <c r="C40" s="444"/>
      <c r="D40" s="569"/>
      <c r="E40" s="481"/>
      <c r="F40" s="433"/>
      <c r="G40" s="773"/>
      <c r="H40" s="54" t="s">
        <v>1014</v>
      </c>
      <c r="I40" s="136">
        <f>$G$36*0.35/2</f>
        <v>2.4999999999999998E-2</v>
      </c>
      <c r="J40" s="522"/>
      <c r="K40" s="569"/>
    </row>
    <row r="41" spans="1:14" s="49" customFormat="1" ht="10.15" customHeight="1" x14ac:dyDescent="0.35">
      <c r="A41" s="576" t="s">
        <v>1015</v>
      </c>
      <c r="B41" s="631" t="s">
        <v>181</v>
      </c>
      <c r="C41" s="444" t="s">
        <v>1016</v>
      </c>
      <c r="D41" s="424" t="s">
        <v>1017</v>
      </c>
      <c r="E41" s="480" t="s">
        <v>26</v>
      </c>
      <c r="F41" s="432">
        <f>IF(E41='Response Guidlines'!$D$81,'Response Guidlines'!$C$81, IF(E41='Response Guidlines'!$D$82,'Response Guidlines'!$C$82,IF(E41='Response Guidlines'!$D$83,'Response Guidlines'!$C$83,IF(E41='Response Guidlines'!$D$84,'Response Guidlines'!$C$84,IF(E41='Response Guidlines'!$D$85,'Response Guidlines'!$C$85,IF(E41='Response Guidlines'!$D$86,'Response Guidlines'!$C$86,IF(E41='Response Guidlines'!$D$87,'Response Guidlines'!$C$87,"No Rating")))))))</f>
        <v>3</v>
      </c>
      <c r="G41" s="774">
        <f>(F41/$F$47)/_xlfn.XLOOKUP('Scoring Summary'!$D$30,'Response Guidlines'!$D$92:$D$191,'Response Guidlines'!$C$92:$C$191,"",0,1)</f>
        <v>8.5714285714285715E-2</v>
      </c>
      <c r="H41" s="52" t="s">
        <v>1018</v>
      </c>
      <c r="I41" s="136">
        <f>G41</f>
        <v>8.5714285714285715E-2</v>
      </c>
      <c r="J41" s="436">
        <v>0</v>
      </c>
      <c r="K41" s="424"/>
    </row>
    <row r="42" spans="1:14" s="49" customFormat="1" ht="94.5" customHeight="1" x14ac:dyDescent="0.35">
      <c r="A42" s="440"/>
      <c r="B42" s="545"/>
      <c r="C42" s="445"/>
      <c r="D42" s="438"/>
      <c r="E42" s="492"/>
      <c r="F42" s="434"/>
      <c r="G42" s="420"/>
      <c r="H42" s="57" t="s">
        <v>974</v>
      </c>
      <c r="I42" s="138">
        <v>0</v>
      </c>
      <c r="J42" s="523"/>
      <c r="K42" s="438"/>
    </row>
    <row r="43" spans="1:14" s="49" customFormat="1" ht="20.5" customHeight="1" x14ac:dyDescent="0.35">
      <c r="A43" s="576" t="s">
        <v>1019</v>
      </c>
      <c r="B43" s="631" t="s">
        <v>181</v>
      </c>
      <c r="C43" s="446" t="s">
        <v>202</v>
      </c>
      <c r="D43" s="424" t="s">
        <v>1020</v>
      </c>
      <c r="E43" s="480" t="s">
        <v>27</v>
      </c>
      <c r="F43" s="432">
        <f>IF(E43='Response Guidlines'!$D$81,'Response Guidlines'!$C$81, IF(E43='Response Guidlines'!$D$82,'Response Guidlines'!$C$82,IF(E43='Response Guidlines'!$D$83,'Response Guidlines'!$C$83,IF(E43='Response Guidlines'!$D$84,'Response Guidlines'!$C$84,IF(E43='Response Guidlines'!$D$85,'Response Guidlines'!$C$85,IF(E43='Response Guidlines'!$D$86,'Response Guidlines'!$C$86,IF(E43='Response Guidlines'!$D$87,'Response Guidlines'!$C$87,"No Rating")))))))</f>
        <v>4</v>
      </c>
      <c r="G43" s="774">
        <f>(F43/$F$47)/_xlfn.XLOOKUP('Scoring Summary'!$D$30,'Response Guidlines'!$D$92:$D$191,'Response Guidlines'!$C$92:$C$191,"",0,1)</f>
        <v>0.11428571428571428</v>
      </c>
      <c r="H43" s="52" t="s">
        <v>1021</v>
      </c>
      <c r="I43" s="136">
        <f>G43</f>
        <v>0.11428571428571428</v>
      </c>
      <c r="J43" s="436">
        <v>0</v>
      </c>
      <c r="K43" s="424"/>
    </row>
    <row r="44" spans="1:14" s="49" customFormat="1" ht="21" x14ac:dyDescent="0.35">
      <c r="A44" s="440"/>
      <c r="B44" s="545"/>
      <c r="C44" s="445"/>
      <c r="D44" s="438"/>
      <c r="E44" s="492"/>
      <c r="F44" s="434"/>
      <c r="G44" s="420"/>
      <c r="H44" s="57" t="s">
        <v>974</v>
      </c>
      <c r="I44" s="138">
        <v>0</v>
      </c>
      <c r="J44" s="523"/>
      <c r="K44" s="438"/>
    </row>
    <row r="45" spans="1:14" s="49" customFormat="1" ht="20.5" customHeight="1" x14ac:dyDescent="0.35">
      <c r="A45" s="576" t="s">
        <v>1022</v>
      </c>
      <c r="B45" s="631" t="s">
        <v>181</v>
      </c>
      <c r="C45" s="446" t="s">
        <v>1023</v>
      </c>
      <c r="D45" s="424" t="s">
        <v>1024</v>
      </c>
      <c r="E45" s="480" t="s">
        <v>28</v>
      </c>
      <c r="F45" s="432">
        <f>IF(E45='Response Guidlines'!$D$81,'Response Guidlines'!$C$81, IF(E45='Response Guidlines'!$D$82,'Response Guidlines'!$C$82,IF(E45='Response Guidlines'!$D$83,'Response Guidlines'!$C$83,IF(E45='Response Guidlines'!$D$84,'Response Guidlines'!$C$84,IF(E45='Response Guidlines'!$D$85,'Response Guidlines'!$C$85,IF(E45='Response Guidlines'!$D$86,'Response Guidlines'!$C$86,IF(E45='Response Guidlines'!$D$87,'Response Guidlines'!$C$87,"No Rating")))))))</f>
        <v>5</v>
      </c>
      <c r="G45" s="774">
        <f>(F45/$F$47)/_xlfn.XLOOKUP('Scoring Summary'!$D$30,'Response Guidlines'!$D$92:$D$191,'Response Guidlines'!$C$92:$C$191,"",0,1)</f>
        <v>0.14285714285714285</v>
      </c>
      <c r="H45" s="52" t="s">
        <v>1025</v>
      </c>
      <c r="I45" s="136">
        <f>G45</f>
        <v>0.14285714285714285</v>
      </c>
      <c r="J45" s="436">
        <v>0</v>
      </c>
      <c r="K45" s="424"/>
    </row>
    <row r="46" spans="1:14" s="49" customFormat="1" ht="52.5" customHeight="1" thickBot="1" x14ac:dyDescent="0.4">
      <c r="A46" s="778"/>
      <c r="B46" s="770"/>
      <c r="C46" s="779"/>
      <c r="D46" s="780"/>
      <c r="E46" s="492"/>
      <c r="F46" s="434"/>
      <c r="G46" s="420"/>
      <c r="H46" s="57" t="s">
        <v>974</v>
      </c>
      <c r="I46" s="138">
        <v>0</v>
      </c>
      <c r="J46" s="523"/>
      <c r="K46" s="438"/>
    </row>
    <row r="47" spans="1:14" s="49" customFormat="1" ht="16.149999999999999" customHeight="1" thickBot="1" x14ac:dyDescent="0.4">
      <c r="A47" s="144"/>
      <c r="B47" s="235"/>
      <c r="C47" s="206" t="s">
        <v>138</v>
      </c>
      <c r="D47" s="206"/>
      <c r="E47" s="82"/>
      <c r="F47" s="145">
        <f>SUM(F12:F46)</f>
        <v>35</v>
      </c>
      <c r="G47" s="350">
        <f>SUM(G12:G46)</f>
        <v>1.0000000000000002</v>
      </c>
      <c r="H47" s="478" t="s">
        <v>139</v>
      </c>
      <c r="I47" s="479"/>
      <c r="J47" s="84">
        <f>SUM(J12:J46)</f>
        <v>0</v>
      </c>
      <c r="K47" s="81"/>
    </row>
    <row r="53" spans="7:7" x14ac:dyDescent="0.25">
      <c r="G53" s="18"/>
    </row>
    <row r="54" spans="7:7" x14ac:dyDescent="0.25">
      <c r="G54" s="18"/>
    </row>
    <row r="55" spans="7:7" x14ac:dyDescent="0.25">
      <c r="G55" s="18"/>
    </row>
    <row r="56" spans="7:7" x14ac:dyDescent="0.25">
      <c r="G56" s="18"/>
    </row>
    <row r="57" spans="7:7" x14ac:dyDescent="0.25">
      <c r="G57" s="18"/>
    </row>
    <row r="58" spans="7:7" x14ac:dyDescent="0.25">
      <c r="G58" s="18"/>
    </row>
    <row r="59" spans="7:7" x14ac:dyDescent="0.25">
      <c r="G59" s="18"/>
    </row>
    <row r="60" spans="7:7" x14ac:dyDescent="0.25">
      <c r="G60" s="18"/>
    </row>
    <row r="61" spans="7:7" x14ac:dyDescent="0.25">
      <c r="G61" s="18"/>
    </row>
    <row r="62" spans="7:7" x14ac:dyDescent="0.25">
      <c r="G62" s="18"/>
    </row>
    <row r="63" spans="7:7" x14ac:dyDescent="0.25">
      <c r="G63" s="18"/>
    </row>
    <row r="64" spans="7:7" x14ac:dyDescent="0.25">
      <c r="G64" s="18"/>
    </row>
    <row r="65" spans="7:7" x14ac:dyDescent="0.25">
      <c r="G65" s="18"/>
    </row>
    <row r="66" spans="7:7" x14ac:dyDescent="0.25">
      <c r="G66" s="18"/>
    </row>
    <row r="67" spans="7:7" x14ac:dyDescent="0.25">
      <c r="G67" s="18"/>
    </row>
  </sheetData>
  <autoFilter ref="C11:K47" xr:uid="{A14B4F21-DDC1-45B1-87BE-3DBD629D3C95}"/>
  <mergeCells count="141">
    <mergeCell ref="H9:K9"/>
    <mergeCell ref="A45:A46"/>
    <mergeCell ref="C45:C46"/>
    <mergeCell ref="D45:D46"/>
    <mergeCell ref="A43:A44"/>
    <mergeCell ref="C43:C44"/>
    <mergeCell ref="D43:D44"/>
    <mergeCell ref="H47:I47"/>
    <mergeCell ref="F2:J4"/>
    <mergeCell ref="J41:J42"/>
    <mergeCell ref="A41:A42"/>
    <mergeCell ref="C41:C42"/>
    <mergeCell ref="D41:D42"/>
    <mergeCell ref="A36:A40"/>
    <mergeCell ref="C36:C40"/>
    <mergeCell ref="D36:D40"/>
    <mergeCell ref="G34:G35"/>
    <mergeCell ref="E34:E35"/>
    <mergeCell ref="F34:F35"/>
    <mergeCell ref="J34:J35"/>
    <mergeCell ref="J28:J29"/>
    <mergeCell ref="E26:E27"/>
    <mergeCell ref="F26:F27"/>
    <mergeCell ref="C26:C27"/>
    <mergeCell ref="K41:K42"/>
    <mergeCell ref="E36:E40"/>
    <mergeCell ref="F36:F40"/>
    <mergeCell ref="G36:G40"/>
    <mergeCell ref="J36:J40"/>
    <mergeCell ref="K36:K40"/>
    <mergeCell ref="J45:J46"/>
    <mergeCell ref="K45:K46"/>
    <mergeCell ref="E43:E44"/>
    <mergeCell ref="F43:F44"/>
    <mergeCell ref="G43:G44"/>
    <mergeCell ref="J43:J44"/>
    <mergeCell ref="K43:K44"/>
    <mergeCell ref="G45:G46"/>
    <mergeCell ref="E45:E46"/>
    <mergeCell ref="F45:F46"/>
    <mergeCell ref="G41:G42"/>
    <mergeCell ref="E41:E42"/>
    <mergeCell ref="F41:F42"/>
    <mergeCell ref="J32:J33"/>
    <mergeCell ref="K32:K33"/>
    <mergeCell ref="A34:A35"/>
    <mergeCell ref="C34:C35"/>
    <mergeCell ref="D34:D35"/>
    <mergeCell ref="A32:A33"/>
    <mergeCell ref="C32:C33"/>
    <mergeCell ref="D32:D33"/>
    <mergeCell ref="K28:K29"/>
    <mergeCell ref="G30:G31"/>
    <mergeCell ref="E30:E31"/>
    <mergeCell ref="F30:F31"/>
    <mergeCell ref="J30:J31"/>
    <mergeCell ref="K30:K31"/>
    <mergeCell ref="E28:E29"/>
    <mergeCell ref="F28:F29"/>
    <mergeCell ref="G28:G29"/>
    <mergeCell ref="B28:B29"/>
    <mergeCell ref="B30:B31"/>
    <mergeCell ref="B32:B33"/>
    <mergeCell ref="K34:K35"/>
    <mergeCell ref="E32:E33"/>
    <mergeCell ref="F32:F33"/>
    <mergeCell ref="G32:G33"/>
    <mergeCell ref="C30:C31"/>
    <mergeCell ref="D30:D31"/>
    <mergeCell ref="A28:A29"/>
    <mergeCell ref="C28:C29"/>
    <mergeCell ref="D28:D29"/>
    <mergeCell ref="D24:D25"/>
    <mergeCell ref="A26:A27"/>
    <mergeCell ref="C14:C17"/>
    <mergeCell ref="D26:D27"/>
    <mergeCell ref="A18:A19"/>
    <mergeCell ref="C18:C19"/>
    <mergeCell ref="D18:D19"/>
    <mergeCell ref="A22:A23"/>
    <mergeCell ref="C22:C23"/>
    <mergeCell ref="D22:D23"/>
    <mergeCell ref="A24:A25"/>
    <mergeCell ref="C24:C25"/>
    <mergeCell ref="A14:A17"/>
    <mergeCell ref="B22:B23"/>
    <mergeCell ref="B24:B25"/>
    <mergeCell ref="D14:D17"/>
    <mergeCell ref="A20:A21"/>
    <mergeCell ref="G26:G27"/>
    <mergeCell ref="J26:J27"/>
    <mergeCell ref="K14:K17"/>
    <mergeCell ref="K26:K27"/>
    <mergeCell ref="E18:E19"/>
    <mergeCell ref="F18:F19"/>
    <mergeCell ref="G18:G19"/>
    <mergeCell ref="J18:J19"/>
    <mergeCell ref="K18:K19"/>
    <mergeCell ref="E22:E23"/>
    <mergeCell ref="F22:F23"/>
    <mergeCell ref="G22:G23"/>
    <mergeCell ref="J22:J23"/>
    <mergeCell ref="K22:K23"/>
    <mergeCell ref="E24:E25"/>
    <mergeCell ref="F24:F25"/>
    <mergeCell ref="G24:G25"/>
    <mergeCell ref="J24:J25"/>
    <mergeCell ref="K24:K25"/>
    <mergeCell ref="E12:E13"/>
    <mergeCell ref="F12:F13"/>
    <mergeCell ref="G12:G13"/>
    <mergeCell ref="J12:J13"/>
    <mergeCell ref="K12:K13"/>
    <mergeCell ref="B10:D10"/>
    <mergeCell ref="B18:B19"/>
    <mergeCell ref="B20:B21"/>
    <mergeCell ref="E14:E17"/>
    <mergeCell ref="F14:F17"/>
    <mergeCell ref="G14:G17"/>
    <mergeCell ref="J14:J17"/>
    <mergeCell ref="C12:C13"/>
    <mergeCell ref="D12:D13"/>
    <mergeCell ref="C20:C21"/>
    <mergeCell ref="D20:D21"/>
    <mergeCell ref="E20:E21"/>
    <mergeCell ref="F20:F21"/>
    <mergeCell ref="G20:G21"/>
    <mergeCell ref="J20:J21"/>
    <mergeCell ref="K20:K21"/>
    <mergeCell ref="E10:F10"/>
    <mergeCell ref="B45:B46"/>
    <mergeCell ref="B43:B44"/>
    <mergeCell ref="B36:B40"/>
    <mergeCell ref="B41:B42"/>
    <mergeCell ref="B34:B35"/>
    <mergeCell ref="B12:B13"/>
    <mergeCell ref="B14:B17"/>
    <mergeCell ref="B26:B27"/>
    <mergeCell ref="A10:A11"/>
    <mergeCell ref="A12:A13"/>
    <mergeCell ref="A30:A31"/>
  </mergeCells>
  <phoneticPr fontId="34" type="noConversion"/>
  <dataValidations count="14">
    <dataValidation type="list" allowBlank="1" showInputMessage="1" showErrorMessage="1" sqref="J12:J13" xr:uid="{C4ACB603-D96D-4741-806E-535D9444A17A}">
      <formula1>$I$12:$I$13</formula1>
    </dataValidation>
    <dataValidation type="list" allowBlank="1" showInputMessage="1" showErrorMessage="1" sqref="J14:J17" xr:uid="{C733DA58-7211-4190-8C1F-DF5AFE64B796}">
      <formula1>$I$14:$I$17</formula1>
    </dataValidation>
    <dataValidation type="list" allowBlank="1" showInputMessage="1" showErrorMessage="1" sqref="J18:J19" xr:uid="{CFEF75F3-D8CF-4CA0-BFBA-11248A39C921}">
      <formula1>$I$18:$I$19</formula1>
    </dataValidation>
    <dataValidation type="list" allowBlank="1" showInputMessage="1" showErrorMessage="1" sqref="J20:J21" xr:uid="{476AD925-830E-4582-A22A-822736A98990}">
      <formula1>$I$20:$I$21</formula1>
    </dataValidation>
    <dataValidation type="list" allowBlank="1" showInputMessage="1" showErrorMessage="1" sqref="J22:J23" xr:uid="{A512D3D0-CAF9-45B3-8C50-6C5A5B90717F}">
      <formula1>$I$22:$I$23</formula1>
    </dataValidation>
    <dataValidation type="list" allowBlank="1" showInputMessage="1" showErrorMessage="1" sqref="J24:J25" xr:uid="{162EF8D4-C3E9-471F-B1EF-82E761F36257}">
      <formula1>$I$24:$I$25</formula1>
    </dataValidation>
    <dataValidation type="list" allowBlank="1" showInputMessage="1" showErrorMessage="1" sqref="J26:J27" xr:uid="{8FC7782A-A2E5-46A6-A714-7E9800D8EEC6}">
      <formula1>$I$26:$I$27</formula1>
    </dataValidation>
    <dataValidation type="list" allowBlank="1" showInputMessage="1" showErrorMessage="1" sqref="J28:J29" xr:uid="{0DB74F70-2552-4B9F-AAD5-F031949CD197}">
      <formula1>$I$28:$I$29</formula1>
    </dataValidation>
    <dataValidation type="list" allowBlank="1" showInputMessage="1" showErrorMessage="1" sqref="J30:J31" xr:uid="{0C1EC14D-9D24-45E3-B91F-6185DC5AC973}">
      <formula1>$I$30:$I$31</formula1>
    </dataValidation>
    <dataValidation type="list" allowBlank="1" showInputMessage="1" showErrorMessage="1" sqref="J32:J33" xr:uid="{81D883E0-B83D-4246-9F09-1162E4951628}">
      <formula1>$I$32:$I$33</formula1>
    </dataValidation>
    <dataValidation type="list" allowBlank="1" showInputMessage="1" showErrorMessage="1" sqref="J34:J35" xr:uid="{5A76BCC6-6817-459E-BFC5-F40A75A78207}">
      <formula1>$I$34:$I$35</formula1>
    </dataValidation>
    <dataValidation type="list" allowBlank="1" showInputMessage="1" showErrorMessage="1" sqref="J41:J42" xr:uid="{AD7CC3D0-6B92-4565-B26E-C43ABA106931}">
      <formula1>$I$41:$I$42</formula1>
    </dataValidation>
    <dataValidation type="list" allowBlank="1" showInputMessage="1" showErrorMessage="1" sqref="J43:J44" xr:uid="{38871371-EDDA-4621-9E0C-95DB8462ED92}">
      <formula1>$I$43:$I$44</formula1>
    </dataValidation>
    <dataValidation type="list" allowBlank="1" showInputMessage="1" showErrorMessage="1" sqref="J45:J46" xr:uid="{7E913FB9-E630-4019-8FB0-521C7A352954}">
      <formula1>$I$45:$I$46</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A176E2A-B565-43AE-A657-302BB441982B}">
          <x14:formula1>
            <xm:f>'Response Guidlines'!$D$81:$D$87</xm:f>
          </x14:formula1>
          <xm:sqref>E12:E46</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A8599-98B6-4B48-AE4A-1911EA791652}">
  <sheetPr>
    <tabColor rgb="FFC97A00"/>
    <pageSetUpPr fitToPage="1"/>
  </sheetPr>
  <dimension ref="A1:N79"/>
  <sheetViews>
    <sheetView zoomScale="115" zoomScaleNormal="115" workbookViewId="0">
      <pane xSplit="1" ySplit="11" topLeftCell="B15" activePane="bottomRight" state="frozen"/>
      <selection pane="topRight" activeCell="B15" sqref="B15"/>
      <selection pane="bottomLeft" activeCell="A17" sqref="A17"/>
      <selection pane="bottomRight" activeCell="M12" sqref="M12"/>
    </sheetView>
  </sheetViews>
  <sheetFormatPr defaultColWidth="9.26953125" defaultRowHeight="10.5" x14ac:dyDescent="0.25"/>
  <cols>
    <col min="1" max="1" width="9.453125" style="19" customWidth="1"/>
    <col min="2" max="2" width="10.26953125" style="178" customWidth="1"/>
    <col min="3" max="3" width="57.26953125" style="18" customWidth="1"/>
    <col min="4" max="4" width="38.453125" style="18" customWidth="1"/>
    <col min="5" max="5" width="11.26953125" style="18" bestFit="1" customWidth="1"/>
    <col min="6" max="6" width="7.54296875" style="18" customWidth="1"/>
    <col min="7" max="7" width="7.26953125" style="17" customWidth="1"/>
    <col min="8" max="8" width="10.453125" style="16" customWidth="1"/>
    <col min="9" max="9" width="13.453125" style="15" customWidth="1"/>
    <col min="10" max="10" width="7" style="15" customWidth="1"/>
    <col min="11" max="11" width="7" style="13" customWidth="1"/>
    <col min="12" max="12" width="40.453125" style="14" customWidth="1"/>
    <col min="13" max="13" width="8.54296875" style="13" customWidth="1"/>
    <col min="14" max="14" width="0.26953125" style="13" customWidth="1"/>
    <col min="15" max="16384" width="9.26953125" style="13"/>
  </cols>
  <sheetData>
    <row r="1" spans="1:14" x14ac:dyDescent="0.25">
      <c r="C1" s="76"/>
      <c r="D1" s="76"/>
      <c r="E1" s="76"/>
      <c r="F1" s="76"/>
    </row>
    <row r="2" spans="1:14" ht="15.5" x14ac:dyDescent="0.35">
      <c r="C2" s="11" t="s">
        <v>51</v>
      </c>
      <c r="D2" s="12" t="str">
        <f>'Scoring Summary'!C2</f>
        <v>&lt;insert before tender publication&gt;</v>
      </c>
      <c r="E2" s="100"/>
      <c r="F2" s="390" t="s">
        <v>955</v>
      </c>
      <c r="G2" s="390"/>
      <c r="H2" s="390"/>
      <c r="I2" s="390"/>
      <c r="J2" s="390"/>
      <c r="K2" s="46"/>
      <c r="L2" s="46"/>
    </row>
    <row r="3" spans="1:14" ht="28.5" x14ac:dyDescent="0.35">
      <c r="C3" s="11" t="s">
        <v>54</v>
      </c>
      <c r="D3" s="12" t="str">
        <f>'Scoring Summary'!C3</f>
        <v>IT00641 Dx Commercial Energy Trader (Dx CET)</v>
      </c>
      <c r="E3" s="75"/>
      <c r="F3" s="390"/>
      <c r="G3" s="390"/>
      <c r="H3" s="390"/>
      <c r="I3" s="390"/>
      <c r="J3" s="390"/>
      <c r="K3" s="46"/>
      <c r="L3" s="46"/>
    </row>
    <row r="4" spans="1:14" ht="15.5" x14ac:dyDescent="0.35">
      <c r="C4" s="11" t="s">
        <v>55</v>
      </c>
      <c r="D4" s="12">
        <f>'Scoring Summary'!C4</f>
        <v>0.7</v>
      </c>
      <c r="E4" s="75"/>
      <c r="F4" s="390"/>
      <c r="G4" s="390"/>
      <c r="H4" s="390"/>
      <c r="I4" s="390"/>
      <c r="J4" s="390"/>
      <c r="K4" s="46"/>
      <c r="L4" s="46"/>
    </row>
    <row r="5" spans="1:14" ht="15.5" x14ac:dyDescent="0.35">
      <c r="C5" s="11" t="s">
        <v>84</v>
      </c>
      <c r="D5" s="10" t="str">
        <f>'Scoring Summary'!C5</f>
        <v>&lt;Evaluator to complete&gt;</v>
      </c>
      <c r="E5" s="75"/>
      <c r="F5" s="46"/>
      <c r="G5" s="46"/>
      <c r="H5" s="46"/>
      <c r="I5" s="46"/>
      <c r="J5" s="46"/>
      <c r="K5" s="46"/>
      <c r="L5" s="46"/>
    </row>
    <row r="6" spans="1:14" ht="15.5" x14ac:dyDescent="0.35">
      <c r="C6" s="11" t="s">
        <v>58</v>
      </c>
      <c r="D6" s="10" t="str">
        <f>'Scoring Summary'!C6</f>
        <v>&lt;Evaluator to complete&gt;</v>
      </c>
      <c r="E6" s="46"/>
      <c r="F6" s="46"/>
      <c r="G6" s="46"/>
      <c r="H6" s="46"/>
      <c r="I6" s="46"/>
      <c r="J6" s="46"/>
      <c r="K6" s="46"/>
      <c r="L6" s="46"/>
    </row>
    <row r="7" spans="1:14" ht="15.5" x14ac:dyDescent="0.35">
      <c r="C7" s="11" t="s">
        <v>59</v>
      </c>
      <c r="D7" s="10" t="str">
        <f>'Scoring Summary'!C7</f>
        <v>&lt;Evaluator to complete&gt;</v>
      </c>
      <c r="E7" s="46"/>
      <c r="F7" s="46"/>
      <c r="G7" s="46"/>
      <c r="H7" s="46"/>
      <c r="I7" s="46"/>
      <c r="J7" s="46"/>
      <c r="K7" s="46"/>
      <c r="L7" s="46"/>
    </row>
    <row r="8" spans="1:14" ht="15.5" x14ac:dyDescent="0.35">
      <c r="C8" s="11" t="s">
        <v>60</v>
      </c>
      <c r="D8" s="10"/>
      <c r="E8" s="46"/>
      <c r="F8" s="46"/>
      <c r="G8" s="46"/>
      <c r="H8" s="46"/>
      <c r="I8" s="46"/>
      <c r="J8" s="46"/>
      <c r="K8" s="46"/>
      <c r="L8" s="46"/>
    </row>
    <row r="9" spans="1:14" ht="11" thickBot="1" x14ac:dyDescent="0.3">
      <c r="C9" s="30"/>
      <c r="D9" s="30"/>
      <c r="E9" s="30"/>
      <c r="F9" s="30"/>
    </row>
    <row r="10" spans="1:14" x14ac:dyDescent="0.2">
      <c r="A10" s="447" t="s">
        <v>85</v>
      </c>
      <c r="B10" s="527" t="s">
        <v>86</v>
      </c>
      <c r="C10" s="503"/>
      <c r="D10" s="528"/>
      <c r="E10" s="74"/>
      <c r="F10" s="74"/>
      <c r="G10" s="73" t="s">
        <v>88</v>
      </c>
      <c r="H10" s="72"/>
      <c r="I10" s="72"/>
      <c r="J10" s="72"/>
      <c r="K10" s="72"/>
      <c r="L10" s="71"/>
    </row>
    <row r="11" spans="1:14" s="49" customFormat="1" ht="58.15" customHeight="1" thickBot="1" x14ac:dyDescent="0.4">
      <c r="A11" s="501"/>
      <c r="B11" s="149" t="s">
        <v>168</v>
      </c>
      <c r="C11" s="70" t="s">
        <v>89</v>
      </c>
      <c r="D11" s="147" t="s">
        <v>957</v>
      </c>
      <c r="E11" s="150" t="s">
        <v>92</v>
      </c>
      <c r="F11" s="64" t="s">
        <v>93</v>
      </c>
      <c r="G11" s="63" t="s">
        <v>94</v>
      </c>
      <c r="H11" s="62" t="s">
        <v>302</v>
      </c>
      <c r="I11" s="594" t="s">
        <v>1026</v>
      </c>
      <c r="J11" s="595"/>
      <c r="K11" s="60" t="s">
        <v>67</v>
      </c>
      <c r="L11" s="59" t="s">
        <v>68</v>
      </c>
    </row>
    <row r="12" spans="1:14" s="49" customFormat="1" ht="11.25" customHeight="1" x14ac:dyDescent="0.35">
      <c r="A12" s="576" t="s">
        <v>1027</v>
      </c>
      <c r="B12" s="578" t="s">
        <v>449</v>
      </c>
      <c r="C12" s="412" t="s">
        <v>450</v>
      </c>
      <c r="D12" s="427" t="s">
        <v>1028</v>
      </c>
      <c r="E12" s="480" t="s">
        <v>27</v>
      </c>
      <c r="F12" s="432">
        <f>IF(E12='Response Guidlines'!$D$81,'Response Guidlines'!$C$81, IF(E12='Response Guidlines'!$D$82,'Response Guidlines'!$C$82,IF(E12='Response Guidlines'!$D$83,'Response Guidlines'!$C$83,IF(E12='Response Guidlines'!$D$84,'Response Guidlines'!$C$84,IF(E12='Response Guidlines'!$D$85,'Response Guidlines'!$C$85,IF(E12='Response Guidlines'!$D$86,'Response Guidlines'!$C$86,IF(E12='Response Guidlines'!$D$87,'Response Guidlines'!$C$87,"No Rating")))))))</f>
        <v>4</v>
      </c>
      <c r="G12" s="570">
        <f>IFERROR((F12/$F$58)/_xlfn.XLOOKUP('Scoring Summary'!$D$31,'Response Guidlines'!$D$92:$D$191,'Response Guidlines'!$C$92:$C$191,"",0,1),0)</f>
        <v>0.13333333333333333</v>
      </c>
      <c r="H12" s="52" t="s">
        <v>309</v>
      </c>
      <c r="I12" s="186" t="s">
        <v>39</v>
      </c>
      <c r="J12" s="184">
        <f>IF(I12="Yes", $G$12/COUNTA($H$12:$H$15), 0)</f>
        <v>0</v>
      </c>
      <c r="K12" s="573">
        <f>SUM(J12:J15)</f>
        <v>0</v>
      </c>
      <c r="L12" s="426"/>
      <c r="N12" s="196"/>
    </row>
    <row r="13" spans="1:14" s="49" customFormat="1" ht="10" x14ac:dyDescent="0.35">
      <c r="A13" s="439"/>
      <c r="B13" s="578"/>
      <c r="C13" s="412"/>
      <c r="D13" s="427"/>
      <c r="E13" s="481"/>
      <c r="F13" s="433"/>
      <c r="G13" s="571"/>
      <c r="H13" s="52" t="s">
        <v>310</v>
      </c>
      <c r="I13" s="186" t="s">
        <v>39</v>
      </c>
      <c r="J13" s="184">
        <f>IF(I13="Yes", $G$12/COUNTA($H$12:$H$15), 0)</f>
        <v>0</v>
      </c>
      <c r="K13" s="574"/>
      <c r="L13" s="427"/>
      <c r="N13" s="196"/>
    </row>
    <row r="14" spans="1:14" s="49" customFormat="1" ht="10" x14ac:dyDescent="0.35">
      <c r="A14" s="439"/>
      <c r="B14" s="578"/>
      <c r="C14" s="412"/>
      <c r="D14" s="427"/>
      <c r="E14" s="481"/>
      <c r="F14" s="433"/>
      <c r="G14" s="571"/>
      <c r="H14" s="52" t="s">
        <v>311</v>
      </c>
      <c r="I14" s="186" t="s">
        <v>39</v>
      </c>
      <c r="J14" s="184">
        <f>IF(I14="Yes", $G$12/COUNTA($H$12:$H$15), 0)</f>
        <v>0</v>
      </c>
      <c r="K14" s="574"/>
      <c r="L14" s="427"/>
    </row>
    <row r="15" spans="1:14" s="49" customFormat="1" ht="162.75" customHeight="1" x14ac:dyDescent="0.35">
      <c r="A15" s="439"/>
      <c r="B15" s="578"/>
      <c r="C15" s="412"/>
      <c r="D15" s="427"/>
      <c r="E15" s="481"/>
      <c r="F15" s="433"/>
      <c r="G15" s="571"/>
      <c r="H15" s="52" t="s">
        <v>312</v>
      </c>
      <c r="I15" s="186" t="s">
        <v>39</v>
      </c>
      <c r="J15" s="184">
        <f>IF(I15="Yes", $G$12/COUNTA($H$12:$H$15), 0)</f>
        <v>0</v>
      </c>
      <c r="K15" s="574"/>
      <c r="L15" s="427"/>
    </row>
    <row r="16" spans="1:14" s="49" customFormat="1" ht="10" x14ac:dyDescent="0.35">
      <c r="A16" s="576" t="s">
        <v>1029</v>
      </c>
      <c r="B16" s="577" t="s">
        <v>314</v>
      </c>
      <c r="C16" s="446" t="s">
        <v>315</v>
      </c>
      <c r="D16" s="426" t="s">
        <v>1030</v>
      </c>
      <c r="E16" s="480" t="s">
        <v>27</v>
      </c>
      <c r="F16" s="432">
        <f>IF(E16='Response Guidlines'!$D$81,'Response Guidlines'!$C$81, IF(E16='Response Guidlines'!$D$82,'Response Guidlines'!$C$82,IF(E16='Response Guidlines'!$D$83,'Response Guidlines'!$C$83,IF(E16='Response Guidlines'!$D$84,'Response Guidlines'!$C$84,IF(E16='Response Guidlines'!$D$85,'Response Guidlines'!$C$85,IF(E16='Response Guidlines'!$D$86,'Response Guidlines'!$C$86,IF(E16='Response Guidlines'!$D$87,'Response Guidlines'!$C$87,"No Rating")))))))</f>
        <v>4</v>
      </c>
      <c r="G16" s="570">
        <f>IFERROR((F16/$F$58)/_xlfn.XLOOKUP('Scoring Summary'!$D$31,'Response Guidlines'!$D$92:$D$191,'Response Guidlines'!$C$92:$C$191,"",0,1),0)</f>
        <v>0.13333333333333333</v>
      </c>
      <c r="H16" s="52" t="s">
        <v>309</v>
      </c>
      <c r="I16" s="186" t="s">
        <v>39</v>
      </c>
      <c r="J16" s="184">
        <f>IF(I16="Yes", (7*2)/((7*2)+3)*$G$16/COUNTA($H$16:$H$22), 0)</f>
        <v>0</v>
      </c>
      <c r="K16" s="573">
        <f>SUM(J16:J25)</f>
        <v>0</v>
      </c>
      <c r="L16" s="532"/>
      <c r="N16" s="196">
        <f>'Response Guidlines'!$C$204*$G$16/COUNTA($H$16:$H$25)</f>
        <v>1.2121212121212119E-2</v>
      </c>
    </row>
    <row r="17" spans="1:14" s="49" customFormat="1" ht="10" x14ac:dyDescent="0.35">
      <c r="A17" s="439"/>
      <c r="B17" s="578"/>
      <c r="C17" s="444"/>
      <c r="D17" s="427"/>
      <c r="E17" s="481"/>
      <c r="F17" s="433"/>
      <c r="G17" s="571"/>
      <c r="H17" s="52" t="s">
        <v>310</v>
      </c>
      <c r="I17" s="186" t="s">
        <v>39</v>
      </c>
      <c r="J17" s="184">
        <f t="shared" ref="J17:J22" si="0">IF(I17="Yes", (7*2)/((7*2)+3)*$G$16/COUNTA($H$16:$H$22), 0)</f>
        <v>0</v>
      </c>
      <c r="K17" s="574"/>
      <c r="L17" s="533"/>
      <c r="N17" s="196"/>
    </row>
    <row r="18" spans="1:14" s="49" customFormat="1" ht="10" x14ac:dyDescent="0.35">
      <c r="A18" s="439"/>
      <c r="B18" s="578"/>
      <c r="C18" s="444"/>
      <c r="D18" s="427"/>
      <c r="E18" s="481"/>
      <c r="F18" s="433"/>
      <c r="G18" s="571"/>
      <c r="H18" s="52" t="s">
        <v>311</v>
      </c>
      <c r="I18" s="186" t="s">
        <v>39</v>
      </c>
      <c r="J18" s="184">
        <f t="shared" si="0"/>
        <v>0</v>
      </c>
      <c r="K18" s="574"/>
      <c r="L18" s="533"/>
    </row>
    <row r="19" spans="1:14" s="49" customFormat="1" ht="10" x14ac:dyDescent="0.35">
      <c r="A19" s="439"/>
      <c r="B19" s="578"/>
      <c r="C19" s="444"/>
      <c r="D19" s="427"/>
      <c r="E19" s="481"/>
      <c r="F19" s="433"/>
      <c r="G19" s="571"/>
      <c r="H19" s="52" t="s">
        <v>312</v>
      </c>
      <c r="I19" s="186" t="s">
        <v>39</v>
      </c>
      <c r="J19" s="184">
        <f t="shared" si="0"/>
        <v>0</v>
      </c>
      <c r="K19" s="574"/>
      <c r="L19" s="533"/>
    </row>
    <row r="20" spans="1:14" s="49" customFormat="1" ht="13.5" customHeight="1" x14ac:dyDescent="0.35">
      <c r="A20" s="439"/>
      <c r="B20" s="578"/>
      <c r="C20" s="444"/>
      <c r="D20" s="427"/>
      <c r="E20" s="481"/>
      <c r="F20" s="433"/>
      <c r="G20" s="571"/>
      <c r="H20" s="52" t="s">
        <v>317</v>
      </c>
      <c r="I20" s="186" t="s">
        <v>39</v>
      </c>
      <c r="J20" s="184">
        <f t="shared" si="0"/>
        <v>0</v>
      </c>
      <c r="K20" s="574"/>
      <c r="L20" s="533"/>
    </row>
    <row r="21" spans="1:14" s="49" customFormat="1" ht="10" x14ac:dyDescent="0.35">
      <c r="A21" s="439"/>
      <c r="B21" s="578"/>
      <c r="C21" s="444"/>
      <c r="D21" s="427"/>
      <c r="E21" s="481"/>
      <c r="F21" s="433"/>
      <c r="G21" s="571"/>
      <c r="H21" s="52" t="s">
        <v>318</v>
      </c>
      <c r="I21" s="186" t="s">
        <v>39</v>
      </c>
      <c r="J21" s="184">
        <f t="shared" si="0"/>
        <v>0</v>
      </c>
      <c r="K21" s="574"/>
      <c r="L21" s="533"/>
    </row>
    <row r="22" spans="1:14" s="49" customFormat="1" ht="10" x14ac:dyDescent="0.35">
      <c r="A22" s="439"/>
      <c r="B22" s="578"/>
      <c r="C22" s="444"/>
      <c r="D22" s="427"/>
      <c r="E22" s="481"/>
      <c r="F22" s="433"/>
      <c r="G22" s="571"/>
      <c r="H22" s="52" t="s">
        <v>319</v>
      </c>
      <c r="I22" s="186" t="s">
        <v>39</v>
      </c>
      <c r="J22" s="184">
        <f t="shared" si="0"/>
        <v>0</v>
      </c>
      <c r="K22" s="574"/>
      <c r="L22" s="533"/>
    </row>
    <row r="23" spans="1:14" s="49" customFormat="1" ht="10" x14ac:dyDescent="0.35">
      <c r="A23" s="439"/>
      <c r="B23" s="578"/>
      <c r="C23" s="444"/>
      <c r="D23" s="427"/>
      <c r="E23" s="481"/>
      <c r="F23" s="433"/>
      <c r="G23" s="571"/>
      <c r="H23" s="52" t="s">
        <v>320</v>
      </c>
      <c r="I23" s="186" t="s">
        <v>39</v>
      </c>
      <c r="J23" s="184">
        <f>IF(I23="Yes", (3)/((7*2)+3)*$G$16/COUNTA($H$23:$H$25), 0)</f>
        <v>0</v>
      </c>
      <c r="K23" s="574"/>
      <c r="L23" s="533"/>
    </row>
    <row r="24" spans="1:14" s="49" customFormat="1" ht="10" x14ac:dyDescent="0.35">
      <c r="A24" s="439"/>
      <c r="B24" s="578"/>
      <c r="C24" s="444"/>
      <c r="D24" s="427"/>
      <c r="E24" s="481"/>
      <c r="F24" s="433"/>
      <c r="G24" s="571"/>
      <c r="H24" s="52" t="s">
        <v>321</v>
      </c>
      <c r="I24" s="186" t="s">
        <v>39</v>
      </c>
      <c r="J24" s="184">
        <f t="shared" ref="J24:J25" si="1">IF(I24="Yes", (3)/((7*2)+3)*$G$16/COUNTA($H$23:$H$25), 0)</f>
        <v>0</v>
      </c>
      <c r="K24" s="574"/>
      <c r="L24" s="533"/>
    </row>
    <row r="25" spans="1:14" s="49" customFormat="1" ht="255" customHeight="1" x14ac:dyDescent="0.35">
      <c r="A25" s="439"/>
      <c r="B25" s="579"/>
      <c r="C25" s="444"/>
      <c r="D25" s="427"/>
      <c r="E25" s="481"/>
      <c r="F25" s="433"/>
      <c r="G25" s="571"/>
      <c r="H25" s="52" t="s">
        <v>322</v>
      </c>
      <c r="I25" s="186" t="s">
        <v>39</v>
      </c>
      <c r="J25" s="184">
        <f t="shared" si="1"/>
        <v>0</v>
      </c>
      <c r="K25" s="574"/>
      <c r="L25" s="533"/>
    </row>
    <row r="26" spans="1:14" s="49" customFormat="1" ht="11.25" customHeight="1" x14ac:dyDescent="0.35">
      <c r="A26" s="576" t="s">
        <v>1031</v>
      </c>
      <c r="B26" s="577" t="s">
        <v>457</v>
      </c>
      <c r="C26" s="412" t="s">
        <v>325</v>
      </c>
      <c r="D26" s="426" t="s">
        <v>1032</v>
      </c>
      <c r="E26" s="480" t="s">
        <v>27</v>
      </c>
      <c r="F26" s="432">
        <f>IF(E26='Response Guidlines'!$D$81,'Response Guidlines'!$C$81, IF(E26='Response Guidlines'!$D$82,'Response Guidlines'!$C$82,IF(E26='Response Guidlines'!$D$83,'Response Guidlines'!$C$83,IF(E26='Response Guidlines'!$D$84,'Response Guidlines'!$C$84,IF(E26='Response Guidlines'!$D$85,'Response Guidlines'!$C$85,IF(E26='Response Guidlines'!$D$86,'Response Guidlines'!$C$86,IF(E26='Response Guidlines'!$D$87,'Response Guidlines'!$C$87,"No Rating")))))))</f>
        <v>4</v>
      </c>
      <c r="G26" s="570">
        <f>IFERROR((F26/$F$58)/_xlfn.XLOOKUP('Scoring Summary'!$D$31,'Response Guidlines'!$D$92:$D$191,'Response Guidlines'!$C$92:$C$191,"",0,1),0)</f>
        <v>0.13333333333333333</v>
      </c>
      <c r="H26" s="52" t="s">
        <v>309</v>
      </c>
      <c r="I26" s="186" t="s">
        <v>39</v>
      </c>
      <c r="J26" s="184">
        <f>IF(I26="Yes", $G$26/COUNTA($H$26:$H$30), 0)</f>
        <v>0</v>
      </c>
      <c r="K26" s="573">
        <f>SUM(J26:J30)</f>
        <v>0</v>
      </c>
      <c r="L26" s="532"/>
      <c r="N26" s="196"/>
    </row>
    <row r="27" spans="1:14" s="49" customFormat="1" ht="10" x14ac:dyDescent="0.35">
      <c r="A27" s="439"/>
      <c r="B27" s="578"/>
      <c r="C27" s="412"/>
      <c r="D27" s="427"/>
      <c r="E27" s="481"/>
      <c r="F27" s="433"/>
      <c r="G27" s="571"/>
      <c r="H27" s="52" t="s">
        <v>310</v>
      </c>
      <c r="I27" s="186" t="s">
        <v>39</v>
      </c>
      <c r="J27" s="184">
        <f>IF(I27="Yes", $G$26/COUNTA($H$26:$H$30), 0)</f>
        <v>0</v>
      </c>
      <c r="K27" s="574"/>
      <c r="L27" s="533"/>
      <c r="N27" s="196"/>
    </row>
    <row r="28" spans="1:14" s="49" customFormat="1" ht="10" x14ac:dyDescent="0.35">
      <c r="A28" s="439"/>
      <c r="B28" s="578"/>
      <c r="C28" s="412"/>
      <c r="D28" s="427"/>
      <c r="E28" s="481"/>
      <c r="F28" s="433"/>
      <c r="G28" s="571"/>
      <c r="H28" s="52" t="s">
        <v>311</v>
      </c>
      <c r="I28" s="186" t="s">
        <v>39</v>
      </c>
      <c r="J28" s="184">
        <f>IF(I28="Yes", $G$26/COUNTA($H$26:$H$30), 0)</f>
        <v>0</v>
      </c>
      <c r="K28" s="574"/>
      <c r="L28" s="533"/>
    </row>
    <row r="29" spans="1:14" s="49" customFormat="1" ht="10" x14ac:dyDescent="0.35">
      <c r="A29" s="439"/>
      <c r="B29" s="578"/>
      <c r="C29" s="412"/>
      <c r="D29" s="427"/>
      <c r="E29" s="481"/>
      <c r="F29" s="433"/>
      <c r="G29" s="571"/>
      <c r="H29" s="52" t="s">
        <v>312</v>
      </c>
      <c r="I29" s="186" t="s">
        <v>39</v>
      </c>
      <c r="J29" s="184">
        <f>IF(I29="Yes", $G$26/COUNTA($H$26:$H$30), 0)</f>
        <v>0</v>
      </c>
      <c r="K29" s="574"/>
      <c r="L29" s="533"/>
    </row>
    <row r="30" spans="1:14" s="49" customFormat="1" ht="205.5" customHeight="1" x14ac:dyDescent="0.35">
      <c r="A30" s="439"/>
      <c r="B30" s="579"/>
      <c r="C30" s="412"/>
      <c r="D30" s="427"/>
      <c r="E30" s="481"/>
      <c r="F30" s="433"/>
      <c r="G30" s="571"/>
      <c r="H30" s="52" t="s">
        <v>317</v>
      </c>
      <c r="I30" s="186" t="s">
        <v>39</v>
      </c>
      <c r="J30" s="184">
        <f>IF(I30="Yes", $G$26/COUNTA($H$26:$H$30), 0)</f>
        <v>0</v>
      </c>
      <c r="K30" s="574"/>
      <c r="L30" s="533"/>
    </row>
    <row r="31" spans="1:14" s="49" customFormat="1" ht="11.25" customHeight="1" x14ac:dyDescent="0.35">
      <c r="A31" s="576" t="s">
        <v>1033</v>
      </c>
      <c r="B31" s="578" t="s">
        <v>459</v>
      </c>
      <c r="C31" s="446" t="s">
        <v>1034</v>
      </c>
      <c r="D31" s="426" t="s">
        <v>1035</v>
      </c>
      <c r="E31" s="480" t="s">
        <v>28</v>
      </c>
      <c r="F31" s="432">
        <f>IF(E31='Response Guidlines'!$D$81,'Response Guidlines'!$C$81, IF(E31='Response Guidlines'!$D$82,'Response Guidlines'!$C$82,IF(E31='Response Guidlines'!$D$83,'Response Guidlines'!$C$83,IF(E31='Response Guidlines'!$D$84,'Response Guidlines'!$C$84,IF(E31='Response Guidlines'!$D$85,'Response Guidlines'!$C$85,IF(E31='Response Guidlines'!$D$86,'Response Guidlines'!$C$86,IF(E31='Response Guidlines'!$D$87,'Response Guidlines'!$C$87,"No Rating")))))))</f>
        <v>5</v>
      </c>
      <c r="G31" s="570">
        <f>IFERROR((F31/$F$58)/_xlfn.XLOOKUP('Scoring Summary'!$D$31,'Response Guidlines'!$D$92:$D$191,'Response Guidlines'!$C$92:$C$191,"",0,1),0)</f>
        <v>0.16666666666666666</v>
      </c>
      <c r="H31" s="52" t="s">
        <v>309</v>
      </c>
      <c r="I31" s="186" t="s">
        <v>39</v>
      </c>
      <c r="J31" s="184">
        <f>IF(I31="Yes", $G$31/COUNTA($H$31:$H$36), 0)</f>
        <v>0</v>
      </c>
      <c r="K31" s="573">
        <f>SUM(J31:J36)</f>
        <v>0</v>
      </c>
      <c r="L31" s="532"/>
      <c r="N31" s="196"/>
    </row>
    <row r="32" spans="1:14" s="49" customFormat="1" ht="10" x14ac:dyDescent="0.35">
      <c r="A32" s="439"/>
      <c r="B32" s="578"/>
      <c r="C32" s="444"/>
      <c r="D32" s="427"/>
      <c r="E32" s="481"/>
      <c r="F32" s="433"/>
      <c r="G32" s="571"/>
      <c r="H32" s="52" t="s">
        <v>310</v>
      </c>
      <c r="I32" s="186" t="s">
        <v>39</v>
      </c>
      <c r="J32" s="184">
        <f t="shared" ref="J32:J36" si="2">IF(I32="Yes", $G$31/COUNTA($H$31:$H$36), 0)</f>
        <v>0</v>
      </c>
      <c r="K32" s="574"/>
      <c r="L32" s="533"/>
      <c r="N32" s="196"/>
    </row>
    <row r="33" spans="1:14" s="49" customFormat="1" ht="10" x14ac:dyDescent="0.35">
      <c r="A33" s="439"/>
      <c r="B33" s="578"/>
      <c r="C33" s="444"/>
      <c r="D33" s="427"/>
      <c r="E33" s="481"/>
      <c r="F33" s="433"/>
      <c r="G33" s="571"/>
      <c r="H33" s="52" t="s">
        <v>311</v>
      </c>
      <c r="I33" s="186" t="s">
        <v>39</v>
      </c>
      <c r="J33" s="184">
        <f t="shared" si="2"/>
        <v>0</v>
      </c>
      <c r="K33" s="574"/>
      <c r="L33" s="533"/>
    </row>
    <row r="34" spans="1:14" s="49" customFormat="1" ht="10" x14ac:dyDescent="0.35">
      <c r="A34" s="439"/>
      <c r="B34" s="578"/>
      <c r="C34" s="444"/>
      <c r="D34" s="427"/>
      <c r="E34" s="481"/>
      <c r="F34" s="433"/>
      <c r="G34" s="571"/>
      <c r="H34" s="52" t="s">
        <v>312</v>
      </c>
      <c r="I34" s="186" t="s">
        <v>39</v>
      </c>
      <c r="J34" s="184">
        <f t="shared" si="2"/>
        <v>0</v>
      </c>
      <c r="K34" s="574"/>
      <c r="L34" s="533"/>
    </row>
    <row r="35" spans="1:14" s="49" customFormat="1" ht="10" x14ac:dyDescent="0.35">
      <c r="A35" s="439"/>
      <c r="B35" s="578"/>
      <c r="C35" s="444"/>
      <c r="D35" s="427"/>
      <c r="E35" s="481"/>
      <c r="F35" s="433"/>
      <c r="G35" s="571"/>
      <c r="H35" s="52" t="s">
        <v>317</v>
      </c>
      <c r="I35" s="186" t="s">
        <v>39</v>
      </c>
      <c r="J35" s="184">
        <f t="shared" si="2"/>
        <v>0</v>
      </c>
      <c r="K35" s="574"/>
      <c r="L35" s="533"/>
    </row>
    <row r="36" spans="1:14" s="49" customFormat="1" ht="111.75" customHeight="1" x14ac:dyDescent="0.35">
      <c r="A36" s="439"/>
      <c r="B36" s="579"/>
      <c r="C36" s="445"/>
      <c r="D36" s="427"/>
      <c r="E36" s="481"/>
      <c r="F36" s="433"/>
      <c r="G36" s="571"/>
      <c r="H36" s="52" t="s">
        <v>318</v>
      </c>
      <c r="I36" s="186" t="s">
        <v>39</v>
      </c>
      <c r="J36" s="184">
        <f t="shared" si="2"/>
        <v>0</v>
      </c>
      <c r="K36" s="574"/>
      <c r="L36" s="533"/>
    </row>
    <row r="37" spans="1:14" s="49" customFormat="1" ht="11.25" customHeight="1" x14ac:dyDescent="0.35">
      <c r="A37" s="576" t="s">
        <v>1036</v>
      </c>
      <c r="B37" s="578" t="s">
        <v>461</v>
      </c>
      <c r="C37" s="446" t="s">
        <v>1037</v>
      </c>
      <c r="D37" s="426" t="s">
        <v>1038</v>
      </c>
      <c r="E37" s="480" t="s">
        <v>26</v>
      </c>
      <c r="F37" s="432">
        <f>IF(E37='Response Guidlines'!$D$81,'Response Guidlines'!$C$81, IF(E37='Response Guidlines'!$D$82,'Response Guidlines'!$C$82,IF(E37='Response Guidlines'!$D$83,'Response Guidlines'!$C$83,IF(E37='Response Guidlines'!$D$84,'Response Guidlines'!$C$84,IF(E37='Response Guidlines'!$D$85,'Response Guidlines'!$C$85,IF(E37='Response Guidlines'!$D$86,'Response Guidlines'!$C$86,IF(E37='Response Guidlines'!$D$87,'Response Guidlines'!$C$87,"No Rating")))))))</f>
        <v>3</v>
      </c>
      <c r="G37" s="570">
        <f>IFERROR((F37/$F$58)/_xlfn.XLOOKUP('Scoring Summary'!$D$31,'Response Guidlines'!$D$92:$D$191,'Response Guidlines'!$C$92:$C$191,"",0,1),0)</f>
        <v>0.1</v>
      </c>
      <c r="H37" s="52" t="s">
        <v>309</v>
      </c>
      <c r="I37" s="186" t="s">
        <v>39</v>
      </c>
      <c r="J37" s="184">
        <f>IF(I37="Yes", $G$37/COUNTA($H$37:$H$42), 0)</f>
        <v>0</v>
      </c>
      <c r="K37" s="573">
        <f>SUM(J37:J42)</f>
        <v>0</v>
      </c>
      <c r="L37" s="532"/>
      <c r="N37" s="196"/>
    </row>
    <row r="38" spans="1:14" s="49" customFormat="1" ht="10" x14ac:dyDescent="0.35">
      <c r="A38" s="439"/>
      <c r="B38" s="578"/>
      <c r="C38" s="444"/>
      <c r="D38" s="427"/>
      <c r="E38" s="481"/>
      <c r="F38" s="433"/>
      <c r="G38" s="571"/>
      <c r="H38" s="52" t="s">
        <v>310</v>
      </c>
      <c r="I38" s="186" t="s">
        <v>39</v>
      </c>
      <c r="J38" s="184">
        <f t="shared" ref="J38:J42" si="3">IF(I38="Yes", $G$37/COUNTA($H$37:$H$42), 0)</f>
        <v>0</v>
      </c>
      <c r="K38" s="574"/>
      <c r="L38" s="533"/>
      <c r="N38" s="196"/>
    </row>
    <row r="39" spans="1:14" s="49" customFormat="1" ht="10" x14ac:dyDescent="0.35">
      <c r="A39" s="439"/>
      <c r="B39" s="578"/>
      <c r="C39" s="444"/>
      <c r="D39" s="427"/>
      <c r="E39" s="481"/>
      <c r="F39" s="433"/>
      <c r="G39" s="571"/>
      <c r="H39" s="52" t="s">
        <v>311</v>
      </c>
      <c r="I39" s="186" t="s">
        <v>39</v>
      </c>
      <c r="J39" s="184">
        <f t="shared" si="3"/>
        <v>0</v>
      </c>
      <c r="K39" s="574"/>
      <c r="L39" s="533"/>
    </row>
    <row r="40" spans="1:14" s="49" customFormat="1" ht="10" x14ac:dyDescent="0.35">
      <c r="A40" s="439"/>
      <c r="B40" s="578"/>
      <c r="C40" s="444"/>
      <c r="D40" s="427"/>
      <c r="E40" s="481"/>
      <c r="F40" s="433"/>
      <c r="G40" s="571"/>
      <c r="H40" s="52" t="s">
        <v>312</v>
      </c>
      <c r="I40" s="186" t="s">
        <v>39</v>
      </c>
      <c r="J40" s="184">
        <f t="shared" si="3"/>
        <v>0</v>
      </c>
      <c r="K40" s="574"/>
      <c r="L40" s="533"/>
    </row>
    <row r="41" spans="1:14" s="49" customFormat="1" ht="10" x14ac:dyDescent="0.35">
      <c r="A41" s="439"/>
      <c r="B41" s="578"/>
      <c r="C41" s="444"/>
      <c r="D41" s="427"/>
      <c r="E41" s="481"/>
      <c r="F41" s="433"/>
      <c r="G41" s="571"/>
      <c r="H41" s="52" t="s">
        <v>317</v>
      </c>
      <c r="I41" s="186" t="s">
        <v>39</v>
      </c>
      <c r="J41" s="184">
        <f t="shared" si="3"/>
        <v>0</v>
      </c>
      <c r="K41" s="574"/>
      <c r="L41" s="533"/>
    </row>
    <row r="42" spans="1:14" s="49" customFormat="1" ht="162.75" customHeight="1" x14ac:dyDescent="0.35">
      <c r="A42" s="439"/>
      <c r="B42" s="579"/>
      <c r="C42" s="445"/>
      <c r="D42" s="427"/>
      <c r="E42" s="481"/>
      <c r="F42" s="433"/>
      <c r="G42" s="571"/>
      <c r="H42" s="52" t="s">
        <v>318</v>
      </c>
      <c r="I42" s="186" t="s">
        <v>39</v>
      </c>
      <c r="J42" s="184">
        <f t="shared" si="3"/>
        <v>0</v>
      </c>
      <c r="K42" s="574"/>
      <c r="L42" s="533"/>
    </row>
    <row r="43" spans="1:14" s="49" customFormat="1" ht="11.25" customHeight="1" x14ac:dyDescent="0.35">
      <c r="A43" s="576" t="s">
        <v>1039</v>
      </c>
      <c r="B43" s="577" t="s">
        <v>463</v>
      </c>
      <c r="C43" s="444" t="s">
        <v>1040</v>
      </c>
      <c r="D43" s="426" t="s">
        <v>1041</v>
      </c>
      <c r="E43" s="480" t="s">
        <v>26</v>
      </c>
      <c r="F43" s="432">
        <f>IF(E43='Response Guidlines'!$D$81,'Response Guidlines'!$C$81, IF(E43='Response Guidlines'!$D$82,'Response Guidlines'!$C$82,IF(E43='Response Guidlines'!$D$83,'Response Guidlines'!$C$83,IF(E43='Response Guidlines'!$D$84,'Response Guidlines'!$C$84,IF(E43='Response Guidlines'!$D$85,'Response Guidlines'!$C$85,IF(E43='Response Guidlines'!$D$86,'Response Guidlines'!$C$86,IF(E43='Response Guidlines'!$D$87,'Response Guidlines'!$C$87,"No Rating")))))))</f>
        <v>3</v>
      </c>
      <c r="G43" s="570">
        <f>IFERROR((F43/$F$58)/_xlfn.XLOOKUP('Scoring Summary'!$D$31,'Response Guidlines'!$D$92:$D$191,'Response Guidlines'!$C$92:$C$191,"",0,1),0)</f>
        <v>0.1</v>
      </c>
      <c r="H43" s="52" t="s">
        <v>309</v>
      </c>
      <c r="I43" s="186" t="s">
        <v>39</v>
      </c>
      <c r="J43" s="184">
        <f>IF(I43="Yes", $G$43/COUNTA($H$43:$H$46), 0)</f>
        <v>0</v>
      </c>
      <c r="K43" s="573">
        <f>SUM(J43:J46)</f>
        <v>0</v>
      </c>
      <c r="L43" s="532"/>
      <c r="N43" s="196"/>
    </row>
    <row r="44" spans="1:14" s="49" customFormat="1" ht="10" x14ac:dyDescent="0.35">
      <c r="A44" s="439"/>
      <c r="B44" s="578"/>
      <c r="C44" s="444"/>
      <c r="D44" s="427"/>
      <c r="E44" s="481"/>
      <c r="F44" s="433"/>
      <c r="G44" s="571"/>
      <c r="H44" s="52" t="s">
        <v>310</v>
      </c>
      <c r="I44" s="186" t="s">
        <v>39</v>
      </c>
      <c r="J44" s="184">
        <f t="shared" ref="J44:J46" si="4">IF(I44="Yes", $G$43/COUNTA($H$43:$H$46), 0)</f>
        <v>0</v>
      </c>
      <c r="K44" s="574"/>
      <c r="L44" s="533"/>
      <c r="N44" s="196"/>
    </row>
    <row r="45" spans="1:14" s="49" customFormat="1" ht="10" x14ac:dyDescent="0.35">
      <c r="A45" s="439"/>
      <c r="B45" s="578"/>
      <c r="C45" s="444"/>
      <c r="D45" s="427"/>
      <c r="E45" s="481"/>
      <c r="F45" s="433"/>
      <c r="G45" s="571"/>
      <c r="H45" s="52" t="s">
        <v>311</v>
      </c>
      <c r="I45" s="186" t="s">
        <v>39</v>
      </c>
      <c r="J45" s="184">
        <f t="shared" si="4"/>
        <v>0</v>
      </c>
      <c r="K45" s="574"/>
      <c r="L45" s="533"/>
    </row>
    <row r="46" spans="1:14" s="49" customFormat="1" ht="103.5" customHeight="1" x14ac:dyDescent="0.35">
      <c r="A46" s="439"/>
      <c r="B46" s="579"/>
      <c r="C46" s="444"/>
      <c r="D46" s="427"/>
      <c r="E46" s="481"/>
      <c r="F46" s="433"/>
      <c r="G46" s="571"/>
      <c r="H46" s="52" t="s">
        <v>312</v>
      </c>
      <c r="I46" s="186" t="s">
        <v>39</v>
      </c>
      <c r="J46" s="184">
        <f t="shared" si="4"/>
        <v>0</v>
      </c>
      <c r="K46" s="574"/>
      <c r="L46" s="533"/>
    </row>
    <row r="47" spans="1:14" s="49" customFormat="1" ht="11.25" customHeight="1" x14ac:dyDescent="0.35">
      <c r="A47" s="576" t="s">
        <v>1042</v>
      </c>
      <c r="B47" s="577" t="s">
        <v>465</v>
      </c>
      <c r="C47" s="446" t="s">
        <v>1043</v>
      </c>
      <c r="D47" s="426" t="s">
        <v>1044</v>
      </c>
      <c r="E47" s="480" t="s">
        <v>26</v>
      </c>
      <c r="F47" s="432">
        <f>IF(E47='Response Guidlines'!$D$81,'Response Guidlines'!$C$81, IF(E47='Response Guidlines'!$D$82,'Response Guidlines'!$C$82,IF(E47='Response Guidlines'!$D$83,'Response Guidlines'!$C$83,IF(E47='Response Guidlines'!$D$84,'Response Guidlines'!$C$84,IF(E47='Response Guidlines'!$D$85,'Response Guidlines'!$C$85,IF(E47='Response Guidlines'!$D$86,'Response Guidlines'!$C$86,IF(E47='Response Guidlines'!$D$87,'Response Guidlines'!$C$87,"No Rating")))))))</f>
        <v>3</v>
      </c>
      <c r="G47" s="570">
        <f>IFERROR((F47/$F$58)/_xlfn.XLOOKUP('Scoring Summary'!$D$31,'Response Guidlines'!$D$92:$D$191,'Response Guidlines'!$C$92:$C$191,"",0,1),0)</f>
        <v>0.1</v>
      </c>
      <c r="H47" s="52" t="s">
        <v>309</v>
      </c>
      <c r="I47" s="186" t="s">
        <v>39</v>
      </c>
      <c r="J47" s="184">
        <f>IF(I47="Yes", $G$47/COUNTA($H$47:$H$51), 0)</f>
        <v>0</v>
      </c>
      <c r="K47" s="573">
        <f>SUM(J47:J51)</f>
        <v>0</v>
      </c>
      <c r="L47" s="532"/>
      <c r="N47" s="196"/>
    </row>
    <row r="48" spans="1:14" s="49" customFormat="1" ht="10" x14ac:dyDescent="0.35">
      <c r="A48" s="439"/>
      <c r="B48" s="578"/>
      <c r="C48" s="444"/>
      <c r="D48" s="427"/>
      <c r="E48" s="481"/>
      <c r="F48" s="433"/>
      <c r="G48" s="571"/>
      <c r="H48" s="52" t="s">
        <v>310</v>
      </c>
      <c r="I48" s="186" t="s">
        <v>39</v>
      </c>
      <c r="J48" s="184">
        <f>IF(I48="Yes", $G$47/COUNTA($H$47:$H$51), 0)</f>
        <v>0</v>
      </c>
      <c r="K48" s="574"/>
      <c r="L48" s="533"/>
      <c r="N48" s="196"/>
    </row>
    <row r="49" spans="1:14" s="49" customFormat="1" ht="10" x14ac:dyDescent="0.35">
      <c r="A49" s="439"/>
      <c r="B49" s="578"/>
      <c r="C49" s="444"/>
      <c r="D49" s="427"/>
      <c r="E49" s="481"/>
      <c r="F49" s="433"/>
      <c r="G49" s="571"/>
      <c r="H49" s="52" t="s">
        <v>311</v>
      </c>
      <c r="I49" s="186" t="s">
        <v>39</v>
      </c>
      <c r="J49" s="184">
        <f>IF(I49="Yes", $G$47/COUNTA($H$47:$H$51), 0)</f>
        <v>0</v>
      </c>
      <c r="K49" s="574"/>
      <c r="L49" s="533"/>
    </row>
    <row r="50" spans="1:14" s="49" customFormat="1" ht="10" x14ac:dyDescent="0.35">
      <c r="A50" s="439"/>
      <c r="B50" s="578"/>
      <c r="C50" s="444"/>
      <c r="D50" s="427"/>
      <c r="E50" s="481"/>
      <c r="F50" s="433"/>
      <c r="G50" s="571"/>
      <c r="H50" s="52" t="s">
        <v>312</v>
      </c>
      <c r="I50" s="186" t="s">
        <v>39</v>
      </c>
      <c r="J50" s="184">
        <f>IF(I50="Yes", $G$47/COUNTA($H$47:$H$51), 0)</f>
        <v>0</v>
      </c>
      <c r="K50" s="574"/>
      <c r="L50" s="533"/>
    </row>
    <row r="51" spans="1:14" s="49" customFormat="1" ht="106.5" customHeight="1" x14ac:dyDescent="0.35">
      <c r="A51" s="439"/>
      <c r="B51" s="579"/>
      <c r="C51" s="445"/>
      <c r="D51" s="427"/>
      <c r="E51" s="481"/>
      <c r="F51" s="433"/>
      <c r="G51" s="571"/>
      <c r="H51" s="52" t="s">
        <v>317</v>
      </c>
      <c r="I51" s="186" t="s">
        <v>39</v>
      </c>
      <c r="J51" s="184">
        <f>IF(I51="Yes", $G$47/COUNTA($H$47:$H$51), 0)</f>
        <v>0</v>
      </c>
      <c r="K51" s="574"/>
      <c r="L51" s="533"/>
    </row>
    <row r="52" spans="1:14" s="49" customFormat="1" ht="11.25" customHeight="1" x14ac:dyDescent="0.35">
      <c r="A52" s="576" t="s">
        <v>1045</v>
      </c>
      <c r="B52" s="578" t="s">
        <v>467</v>
      </c>
      <c r="C52" s="444" t="s">
        <v>1046</v>
      </c>
      <c r="D52" s="426" t="s">
        <v>1047</v>
      </c>
      <c r="E52" s="480" t="s">
        <v>27</v>
      </c>
      <c r="F52" s="432">
        <f>IF(E52='Response Guidlines'!$D$81,'Response Guidlines'!$C$81, IF(E52='Response Guidlines'!$D$82,'Response Guidlines'!$C$82,IF(E52='Response Guidlines'!$D$83,'Response Guidlines'!$C$83,IF(E52='Response Guidlines'!$D$84,'Response Guidlines'!$C$84,IF(E52='Response Guidlines'!$D$85,'Response Guidlines'!$C$85,IF(E52='Response Guidlines'!$D$86,'Response Guidlines'!$C$86,IF(E52='Response Guidlines'!$D$87,'Response Guidlines'!$C$87,"No Rating")))))))</f>
        <v>4</v>
      </c>
      <c r="G52" s="570">
        <f>IFERROR((F52/$F$58)/_xlfn.XLOOKUP('Scoring Summary'!$D$31,'Response Guidlines'!$D$92:$D$191,'Response Guidlines'!$C$92:$C$191,"",0,1),0)</f>
        <v>0.13333333333333333</v>
      </c>
      <c r="H52" s="52" t="s">
        <v>309</v>
      </c>
      <c r="I52" s="186" t="s">
        <v>39</v>
      </c>
      <c r="J52" s="184">
        <f>IF(I52="Yes", (5*2)/((5*2)+1)*$G$52/COUNTA($H$52:$H$56), 0)</f>
        <v>0</v>
      </c>
      <c r="K52" s="573">
        <f>SUM(J52:J57)</f>
        <v>0</v>
      </c>
      <c r="L52" s="532"/>
      <c r="N52" s="196"/>
    </row>
    <row r="53" spans="1:14" s="49" customFormat="1" ht="10" x14ac:dyDescent="0.35">
      <c r="A53" s="439"/>
      <c r="B53" s="578"/>
      <c r="C53" s="444"/>
      <c r="D53" s="427"/>
      <c r="E53" s="481"/>
      <c r="F53" s="433"/>
      <c r="G53" s="571"/>
      <c r="H53" s="52" t="s">
        <v>310</v>
      </c>
      <c r="I53" s="186" t="s">
        <v>39</v>
      </c>
      <c r="J53" s="184">
        <f t="shared" ref="J53:J56" si="5">IF(I53="Yes", (5*2)/((5*2)+1)*$G$52/COUNTA($H$52:$H$56), 0)</f>
        <v>0</v>
      </c>
      <c r="K53" s="574"/>
      <c r="L53" s="533"/>
      <c r="N53" s="196"/>
    </row>
    <row r="54" spans="1:14" s="49" customFormat="1" ht="10" x14ac:dyDescent="0.35">
      <c r="A54" s="439"/>
      <c r="B54" s="578"/>
      <c r="C54" s="444"/>
      <c r="D54" s="427"/>
      <c r="E54" s="481"/>
      <c r="F54" s="433"/>
      <c r="G54" s="571"/>
      <c r="H54" s="52" t="s">
        <v>311</v>
      </c>
      <c r="I54" s="186" t="s">
        <v>39</v>
      </c>
      <c r="J54" s="184">
        <f t="shared" si="5"/>
        <v>0</v>
      </c>
      <c r="K54" s="574"/>
      <c r="L54" s="533"/>
    </row>
    <row r="55" spans="1:14" s="49" customFormat="1" ht="10" x14ac:dyDescent="0.35">
      <c r="A55" s="439"/>
      <c r="B55" s="578"/>
      <c r="C55" s="444"/>
      <c r="D55" s="427"/>
      <c r="E55" s="481"/>
      <c r="F55" s="433"/>
      <c r="G55" s="571"/>
      <c r="H55" s="52" t="s">
        <v>312</v>
      </c>
      <c r="I55" s="186" t="s">
        <v>39</v>
      </c>
      <c r="J55" s="184">
        <f t="shared" si="5"/>
        <v>0</v>
      </c>
      <c r="K55" s="574"/>
      <c r="L55" s="533"/>
    </row>
    <row r="56" spans="1:14" s="49" customFormat="1" ht="10" x14ac:dyDescent="0.35">
      <c r="A56" s="439"/>
      <c r="B56" s="578"/>
      <c r="C56" s="444"/>
      <c r="D56" s="427"/>
      <c r="E56" s="481"/>
      <c r="F56" s="433"/>
      <c r="G56" s="571"/>
      <c r="H56" s="52" t="s">
        <v>317</v>
      </c>
      <c r="I56" s="186" t="s">
        <v>39</v>
      </c>
      <c r="J56" s="184">
        <f t="shared" si="5"/>
        <v>0</v>
      </c>
      <c r="K56" s="574"/>
      <c r="L56" s="533"/>
    </row>
    <row r="57" spans="1:14" s="49" customFormat="1" ht="139.5" customHeight="1" thickBot="1" x14ac:dyDescent="0.4">
      <c r="A57" s="439"/>
      <c r="B57" s="579"/>
      <c r="C57" s="779"/>
      <c r="D57" s="427"/>
      <c r="E57" s="481"/>
      <c r="F57" s="433"/>
      <c r="G57" s="571"/>
      <c r="H57" s="52" t="s">
        <v>320</v>
      </c>
      <c r="I57" s="186" t="s">
        <v>39</v>
      </c>
      <c r="J57" s="184">
        <f>IF(I57="Yes", (1)/((5*2)+1)*$G$52/COUNTA($H$57:$H$57), 0)</f>
        <v>0</v>
      </c>
      <c r="K57" s="574"/>
      <c r="L57" s="533"/>
    </row>
    <row r="58" spans="1:14" s="49" customFormat="1" ht="16.149999999999999" customHeight="1" thickBot="1" x14ac:dyDescent="0.4">
      <c r="A58" s="144"/>
      <c r="B58" s="179"/>
      <c r="C58" s="82" t="s">
        <v>138</v>
      </c>
      <c r="D58" s="82"/>
      <c r="E58" s="82"/>
      <c r="F58" s="145">
        <f>SUM(F12:F57)</f>
        <v>30</v>
      </c>
      <c r="G58" s="84">
        <f>IFERROR(SUM(G12:G57),0)</f>
        <v>0.99999999999999989</v>
      </c>
      <c r="H58" s="478" t="s">
        <v>139</v>
      </c>
      <c r="I58" s="479"/>
      <c r="J58" s="164"/>
      <c r="K58" s="84">
        <f>SUM(K16:K25)</f>
        <v>0</v>
      </c>
      <c r="L58" s="81"/>
    </row>
    <row r="61" spans="1:14" hidden="1" x14ac:dyDescent="0.25"/>
    <row r="62" spans="1:14" hidden="1" x14ac:dyDescent="0.25">
      <c r="C62" s="198" t="s">
        <v>1048</v>
      </c>
      <c r="G62" s="18"/>
    </row>
    <row r="63" spans="1:14" hidden="1" x14ac:dyDescent="0.25">
      <c r="C63" s="199" t="s">
        <v>1049</v>
      </c>
    </row>
    <row r="74" spans="7:10" x14ac:dyDescent="0.25">
      <c r="G74" s="201"/>
    </row>
    <row r="75" spans="7:10" x14ac:dyDescent="0.25">
      <c r="J75" s="202"/>
    </row>
    <row r="76" spans="7:10" x14ac:dyDescent="0.25">
      <c r="G76" s="202"/>
      <c r="J76" s="202"/>
    </row>
    <row r="77" spans="7:10" x14ac:dyDescent="0.25">
      <c r="J77" s="202"/>
    </row>
    <row r="78" spans="7:10" x14ac:dyDescent="0.25">
      <c r="J78" s="202"/>
    </row>
    <row r="79" spans="7:10" x14ac:dyDescent="0.25">
      <c r="J79" s="202"/>
    </row>
  </sheetData>
  <mergeCells count="77">
    <mergeCell ref="A52:A57"/>
    <mergeCell ref="B52:B57"/>
    <mergeCell ref="C52:C57"/>
    <mergeCell ref="D52:D57"/>
    <mergeCell ref="E52:E57"/>
    <mergeCell ref="A47:A51"/>
    <mergeCell ref="B47:B51"/>
    <mergeCell ref="C47:C51"/>
    <mergeCell ref="D47:D51"/>
    <mergeCell ref="E47:E51"/>
    <mergeCell ref="F43:F46"/>
    <mergeCell ref="G43:G46"/>
    <mergeCell ref="K43:K46"/>
    <mergeCell ref="L43:L46"/>
    <mergeCell ref="F52:F57"/>
    <mergeCell ref="G52:G57"/>
    <mergeCell ref="F47:F51"/>
    <mergeCell ref="K52:K57"/>
    <mergeCell ref="L52:L57"/>
    <mergeCell ref="G47:G51"/>
    <mergeCell ref="K47:K51"/>
    <mergeCell ref="L47:L51"/>
    <mergeCell ref="A43:A46"/>
    <mergeCell ref="B43:B46"/>
    <mergeCell ref="C43:C46"/>
    <mergeCell ref="D43:D46"/>
    <mergeCell ref="E43:E46"/>
    <mergeCell ref="F37:F42"/>
    <mergeCell ref="G37:G42"/>
    <mergeCell ref="K37:K42"/>
    <mergeCell ref="L37:L42"/>
    <mergeCell ref="A31:A36"/>
    <mergeCell ref="B31:B36"/>
    <mergeCell ref="C31:C36"/>
    <mergeCell ref="A37:A42"/>
    <mergeCell ref="B37:B42"/>
    <mergeCell ref="C37:C42"/>
    <mergeCell ref="D37:D42"/>
    <mergeCell ref="E37:E42"/>
    <mergeCell ref="D31:D36"/>
    <mergeCell ref="E31:E36"/>
    <mergeCell ref="F31:F36"/>
    <mergeCell ref="G31:G36"/>
    <mergeCell ref="K12:K15"/>
    <mergeCell ref="L12:L15"/>
    <mergeCell ref="B12:B15"/>
    <mergeCell ref="C12:C15"/>
    <mergeCell ref="F26:F30"/>
    <mergeCell ref="K16:K25"/>
    <mergeCell ref="L16:L25"/>
    <mergeCell ref="G26:G30"/>
    <mergeCell ref="K26:K30"/>
    <mergeCell ref="L26:L30"/>
    <mergeCell ref="F16:F25"/>
    <mergeCell ref="K31:K36"/>
    <mergeCell ref="L31:L36"/>
    <mergeCell ref="A26:A30"/>
    <mergeCell ref="B26:B30"/>
    <mergeCell ref="C26:C30"/>
    <mergeCell ref="D26:D30"/>
    <mergeCell ref="E26:E30"/>
    <mergeCell ref="F2:J4"/>
    <mergeCell ref="A10:A11"/>
    <mergeCell ref="B10:D10"/>
    <mergeCell ref="I11:J11"/>
    <mergeCell ref="H58:I58"/>
    <mergeCell ref="A12:A15"/>
    <mergeCell ref="D12:D15"/>
    <mergeCell ref="E12:E15"/>
    <mergeCell ref="F12:F15"/>
    <mergeCell ref="G12:G15"/>
    <mergeCell ref="G16:G25"/>
    <mergeCell ref="A16:A25"/>
    <mergeCell ref="B16:B25"/>
    <mergeCell ref="C16:C25"/>
    <mergeCell ref="D16:D25"/>
    <mergeCell ref="E16:E25"/>
  </mergeCells>
  <phoneticPr fontId="34" type="noConversion"/>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256F9129-3D3A-4037-9F4A-6B1930242F5F}">
          <x14:formula1>
            <xm:f>'Response Guidlines'!$D$81:$D$87</xm:f>
          </x14:formula1>
          <xm:sqref>E16 E12 E26 E31 E37 E43 E47 E52</xm:sqref>
        </x14:dataValidation>
        <x14:dataValidation type="list" allowBlank="1" showInputMessage="1" showErrorMessage="1" xr:uid="{4A5BBFFC-C648-40A7-987A-B14A8450F136}">
          <x14:formula1>
            <xm:f>'Response Guidlines'!$C$200:$C$201</xm:f>
          </x14:formula1>
          <xm:sqref>I12:I57</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5646A-8FAF-4927-B4D7-A186B683EE9F}">
  <sheetPr>
    <tabColor theme="7"/>
    <pageSetUpPr fitToPage="1"/>
  </sheetPr>
  <dimension ref="A1:L82"/>
  <sheetViews>
    <sheetView topLeftCell="A15" zoomScale="115" zoomScaleNormal="115" workbookViewId="0">
      <pane xSplit="7" ySplit="2" topLeftCell="H17" activePane="bottomRight" state="frozen"/>
      <selection pane="topRight" activeCell="D17" sqref="D17:D41"/>
      <selection pane="bottomLeft" activeCell="D17" sqref="D17:D41"/>
      <selection pane="bottomRight" activeCell="D17" sqref="D17:D41"/>
    </sheetView>
  </sheetViews>
  <sheetFormatPr defaultColWidth="9.26953125" defaultRowHeight="10.5" x14ac:dyDescent="0.25"/>
  <cols>
    <col min="1" max="2" width="11.7265625" style="19" customWidth="1"/>
    <col min="3" max="3" width="69.7265625" style="18" customWidth="1"/>
    <col min="4" max="4" width="16.26953125" style="18" customWidth="1"/>
    <col min="5" max="5" width="10" style="18" bestFit="1" customWidth="1"/>
    <col min="6" max="6" width="7.54296875" style="18" customWidth="1"/>
    <col min="7" max="7" width="7.26953125" style="17" customWidth="1"/>
    <col min="8" max="8" width="35.7265625" style="16" customWidth="1"/>
    <col min="9" max="9" width="6.26953125" style="15" bestFit="1" customWidth="1"/>
    <col min="10" max="10" width="5.453125" style="13" customWidth="1"/>
    <col min="11" max="11" width="40.453125" style="14" customWidth="1"/>
    <col min="12" max="12" width="8.54296875" style="13" customWidth="1"/>
    <col min="13" max="13" width="9.26953125" style="13"/>
    <col min="14" max="14" width="22.453125" style="13" customWidth="1"/>
    <col min="15" max="16384" width="9.26953125" style="13"/>
  </cols>
  <sheetData>
    <row r="1" spans="1:11" ht="11" hidden="1" thickBot="1" x14ac:dyDescent="0.3">
      <c r="C1" s="76"/>
      <c r="D1" s="76"/>
      <c r="E1" s="76"/>
      <c r="F1" s="76"/>
    </row>
    <row r="2" spans="1:11" ht="14.65" hidden="1" customHeight="1" x14ac:dyDescent="0.35">
      <c r="C2" s="11" t="s">
        <v>51</v>
      </c>
      <c r="D2" s="12" t="str">
        <f>'Scoring Summary'!C2</f>
        <v>&lt;insert before tender publication&gt;</v>
      </c>
      <c r="E2" s="75"/>
      <c r="F2" s="390" t="s">
        <v>955</v>
      </c>
      <c r="G2" s="390"/>
      <c r="H2" s="390"/>
      <c r="I2" s="390"/>
      <c r="J2" s="390"/>
      <c r="K2" s="46"/>
    </row>
    <row r="3" spans="1:11" ht="14.65" hidden="1" customHeight="1" x14ac:dyDescent="0.35">
      <c r="C3" s="11" t="s">
        <v>54</v>
      </c>
      <c r="D3" s="12" t="str">
        <f>'Scoring Summary'!C3</f>
        <v>IT00641 Dx Commercial Energy Trader (Dx CET)</v>
      </c>
      <c r="E3" s="75"/>
      <c r="F3" s="390"/>
      <c r="G3" s="390"/>
      <c r="H3" s="390"/>
      <c r="I3" s="390"/>
      <c r="J3" s="390"/>
      <c r="K3" s="46"/>
    </row>
    <row r="4" spans="1:11" ht="14.65" hidden="1" customHeight="1" x14ac:dyDescent="0.35">
      <c r="C4" s="11" t="s">
        <v>1050</v>
      </c>
      <c r="D4" s="12" t="s">
        <v>52</v>
      </c>
      <c r="E4" s="75"/>
      <c r="F4" s="390"/>
      <c r="G4" s="390"/>
      <c r="H4" s="390"/>
      <c r="I4" s="390"/>
      <c r="J4" s="390"/>
      <c r="K4" s="46"/>
    </row>
    <row r="5" spans="1:11" ht="14.65" hidden="1" customHeight="1" x14ac:dyDescent="0.35">
      <c r="C5" s="11" t="s">
        <v>84</v>
      </c>
      <c r="D5" s="10" t="str">
        <f>'Scoring Summary'!C5</f>
        <v>&lt;Evaluator to complete&gt;</v>
      </c>
      <c r="E5" s="75"/>
      <c r="F5" s="46"/>
      <c r="G5" s="46"/>
      <c r="H5" s="46"/>
      <c r="I5" s="46"/>
      <c r="J5" s="46"/>
      <c r="K5" s="46"/>
    </row>
    <row r="6" spans="1:11" ht="14.65" hidden="1" customHeight="1" x14ac:dyDescent="0.35">
      <c r="C6" s="11" t="s">
        <v>58</v>
      </c>
      <c r="D6" s="10" t="str">
        <f>'Scoring Summary'!C6</f>
        <v>&lt;Evaluator to complete&gt;</v>
      </c>
      <c r="E6" s="46"/>
      <c r="F6" s="46"/>
      <c r="G6" s="46"/>
      <c r="H6" s="46"/>
      <c r="I6" s="46"/>
      <c r="J6" s="46"/>
      <c r="K6" s="46"/>
    </row>
    <row r="7" spans="1:11" ht="14.65" hidden="1" customHeight="1" x14ac:dyDescent="0.35">
      <c r="C7" s="11" t="s">
        <v>59</v>
      </c>
      <c r="D7" s="10" t="str">
        <f>'Scoring Summary'!C7</f>
        <v>&lt;Evaluator to complete&gt;</v>
      </c>
      <c r="E7" s="46"/>
      <c r="F7" s="46"/>
      <c r="G7" s="46"/>
      <c r="H7" s="46"/>
      <c r="I7" s="46"/>
      <c r="J7" s="46"/>
      <c r="K7" s="46"/>
    </row>
    <row r="8" spans="1:11" ht="27.65" hidden="1" customHeight="1" x14ac:dyDescent="0.35">
      <c r="C8" s="11" t="s">
        <v>60</v>
      </c>
      <c r="D8" s="10"/>
      <c r="E8" s="46"/>
      <c r="F8" s="46"/>
      <c r="G8" s="46"/>
      <c r="H8" s="46"/>
      <c r="I8" s="46"/>
      <c r="J8" s="46"/>
      <c r="K8" s="46"/>
    </row>
    <row r="9" spans="1:11" ht="12" hidden="1" customHeight="1" x14ac:dyDescent="0.25"/>
    <row r="10" spans="1:11" ht="43.15" hidden="1" customHeight="1" x14ac:dyDescent="0.25"/>
    <row r="11" spans="1:11" ht="43.15" hidden="1" customHeight="1" x14ac:dyDescent="0.25">
      <c r="C11" s="30"/>
      <c r="D11" s="30"/>
      <c r="E11" s="30"/>
      <c r="F11" s="30"/>
    </row>
    <row r="12" spans="1:11" ht="43.15" hidden="1" customHeight="1" x14ac:dyDescent="0.25"/>
    <row r="13" spans="1:11" ht="43.15" hidden="1" customHeight="1" x14ac:dyDescent="0.25">
      <c r="C13" s="30"/>
      <c r="D13" s="30"/>
      <c r="E13" s="30"/>
      <c r="F13" s="30"/>
    </row>
    <row r="14" spans="1:11" ht="11" hidden="1" thickBot="1" x14ac:dyDescent="0.3">
      <c r="C14" s="30"/>
      <c r="D14" s="30"/>
      <c r="E14" s="30"/>
      <c r="F14" s="30"/>
    </row>
    <row r="15" spans="1:11" ht="14.65" customHeight="1" x14ac:dyDescent="0.2">
      <c r="A15" s="500" t="s">
        <v>85</v>
      </c>
      <c r="B15" s="192"/>
      <c r="C15" s="502" t="s">
        <v>86</v>
      </c>
      <c r="D15" s="503"/>
      <c r="E15" s="109"/>
      <c r="F15" s="74"/>
      <c r="G15" s="73" t="s">
        <v>88</v>
      </c>
      <c r="H15" s="72"/>
      <c r="I15" s="72"/>
      <c r="J15" s="72"/>
      <c r="K15" s="71"/>
    </row>
    <row r="16" spans="1:11" s="49" customFormat="1" ht="49" thickBot="1" x14ac:dyDescent="0.4">
      <c r="A16" s="501"/>
      <c r="B16" s="149" t="s">
        <v>168</v>
      </c>
      <c r="C16" s="70" t="s">
        <v>89</v>
      </c>
      <c r="D16" s="70" t="s">
        <v>957</v>
      </c>
      <c r="E16" s="65" t="s">
        <v>92</v>
      </c>
      <c r="F16" s="64" t="s">
        <v>93</v>
      </c>
      <c r="G16" s="63" t="s">
        <v>94</v>
      </c>
      <c r="H16" s="62" t="s">
        <v>95</v>
      </c>
      <c r="I16" s="61" t="s">
        <v>96</v>
      </c>
      <c r="J16" s="60" t="s">
        <v>67</v>
      </c>
      <c r="K16" s="59" t="s">
        <v>68</v>
      </c>
    </row>
    <row r="17" spans="1:11" s="49" customFormat="1" ht="10" x14ac:dyDescent="0.35">
      <c r="A17" s="781" t="s">
        <v>1027</v>
      </c>
      <c r="B17" s="544" t="s">
        <v>449</v>
      </c>
      <c r="C17" s="412" t="s">
        <v>450</v>
      </c>
      <c r="D17" s="424"/>
      <c r="E17" s="782" t="s">
        <v>25</v>
      </c>
      <c r="F17" s="537">
        <f>IF(E17='Response Guidlines'!$D$81,'Response Guidlines'!$C$81, IF(E17='Response Guidlines'!$D$82,'Response Guidlines'!$C$82,IF(E17='Response Guidlines'!$D$83,'Response Guidlines'!$C$83,IF(E17='Response Guidlines'!$D$84,'Response Guidlines'!$C$84,IF(E17='Response Guidlines'!$D$85,'Response Guidlines'!$C$85,IF(E17='Response Guidlines'!$D$86,'Response Guidlines'!$C$86,IF(E17='Response Guidlines'!$D$87,'Response Guidlines'!$C$87,"No Rating")))))))</f>
        <v>2</v>
      </c>
      <c r="G17" s="784">
        <f>(F17/$F$82)/_xlfn.XLOOKUP('Scoring Summary'!$D$31,'Response Guidlines'!$D$92:$D$191,'Response Guidlines'!$C$92:$C$191,"",0,1)</f>
        <v>0.2</v>
      </c>
      <c r="H17" s="52"/>
      <c r="I17" s="136">
        <f>G17</f>
        <v>0.2</v>
      </c>
      <c r="J17" s="541"/>
      <c r="K17" s="550"/>
    </row>
    <row r="18" spans="1:11" s="49" customFormat="1" ht="10" x14ac:dyDescent="0.35">
      <c r="A18" s="510"/>
      <c r="B18" s="544"/>
      <c r="C18" s="412"/>
      <c r="D18" s="569"/>
      <c r="E18" s="562"/>
      <c r="F18" s="538"/>
      <c r="G18" s="785"/>
      <c r="H18" s="52"/>
      <c r="I18" s="138">
        <f>I17*0.75</f>
        <v>0.15000000000000002</v>
      </c>
      <c r="J18" s="542"/>
      <c r="K18" s="786"/>
    </row>
    <row r="19" spans="1:11" s="49" customFormat="1" ht="10" x14ac:dyDescent="0.35">
      <c r="A19" s="510"/>
      <c r="B19" s="544"/>
      <c r="C19" s="412"/>
      <c r="D19" s="569"/>
      <c r="E19" s="562"/>
      <c r="F19" s="538"/>
      <c r="G19" s="785"/>
      <c r="H19" s="57"/>
      <c r="I19" s="138">
        <f>I17*0.5</f>
        <v>0.1</v>
      </c>
      <c r="J19" s="542"/>
      <c r="K19" s="786"/>
    </row>
    <row r="20" spans="1:11" s="49" customFormat="1" ht="10" x14ac:dyDescent="0.35">
      <c r="A20" s="510"/>
      <c r="B20" s="544"/>
      <c r="C20" s="412"/>
      <c r="D20" s="569"/>
      <c r="E20" s="562"/>
      <c r="F20" s="538"/>
      <c r="G20" s="785"/>
      <c r="H20" s="54"/>
      <c r="I20" s="138">
        <f>I17*0.25</f>
        <v>0.05</v>
      </c>
      <c r="J20" s="542"/>
      <c r="K20" s="786"/>
    </row>
    <row r="21" spans="1:11" s="49" customFormat="1" ht="166.5" customHeight="1" x14ac:dyDescent="0.35">
      <c r="A21" s="511"/>
      <c r="B21" s="545"/>
      <c r="C21" s="412"/>
      <c r="D21" s="438"/>
      <c r="E21" s="535"/>
      <c r="F21" s="783"/>
      <c r="G21" s="539"/>
      <c r="H21" s="52"/>
      <c r="I21" s="138">
        <v>0</v>
      </c>
      <c r="J21" s="543"/>
      <c r="K21" s="551"/>
    </row>
    <row r="22" spans="1:11" s="49" customFormat="1" ht="31.5" x14ac:dyDescent="0.35">
      <c r="A22" s="781" t="s">
        <v>1029</v>
      </c>
      <c r="B22" s="544" t="s">
        <v>455</v>
      </c>
      <c r="C22" s="412" t="s">
        <v>1051</v>
      </c>
      <c r="D22" s="424" t="s">
        <v>1052</v>
      </c>
      <c r="E22" s="782" t="s">
        <v>27</v>
      </c>
      <c r="F22" s="537">
        <f>IF(E22='Response Guidlines'!$D$81,'Response Guidlines'!$C$81, IF(E22='Response Guidlines'!$D$82,'Response Guidlines'!$C$82,IF(E22='Response Guidlines'!$D$83,'Response Guidlines'!$C$83,IF(E22='Response Guidlines'!$D$84,'Response Guidlines'!$C$84,IF(E22='Response Guidlines'!$D$85,'Response Guidlines'!$C$85,IF(E22='Response Guidlines'!$D$86,'Response Guidlines'!$C$86,IF(E22='Response Guidlines'!$D$87,'Response Guidlines'!$C$87,"No Rating")))))))</f>
        <v>4</v>
      </c>
      <c r="G22" s="784">
        <f>(F22/$F$82)/_xlfn.XLOOKUP('Scoring Summary'!$D$31,'Response Guidlines'!$D$92:$D$191,'Response Guidlines'!$C$92:$C$191,"",0,1)</f>
        <v>0.4</v>
      </c>
      <c r="H22" s="52" t="s">
        <v>1053</v>
      </c>
      <c r="I22" s="136">
        <f>G22</f>
        <v>0.4</v>
      </c>
      <c r="J22" s="541"/>
      <c r="K22" s="532"/>
    </row>
    <row r="23" spans="1:11" s="49" customFormat="1" ht="11.25" hidden="1" customHeight="1" x14ac:dyDescent="0.35">
      <c r="A23" s="510"/>
      <c r="B23" s="544"/>
      <c r="C23" s="412"/>
      <c r="D23" s="569"/>
      <c r="E23" s="562"/>
      <c r="F23" s="538"/>
      <c r="G23" s="785"/>
      <c r="H23" s="52"/>
      <c r="I23" s="138">
        <f>I22*0.75</f>
        <v>0.30000000000000004</v>
      </c>
      <c r="J23" s="542"/>
      <c r="K23" s="533"/>
    </row>
    <row r="24" spans="1:11" s="49" customFormat="1" ht="11.25" hidden="1" customHeight="1" x14ac:dyDescent="0.35">
      <c r="A24" s="510"/>
      <c r="B24" s="544"/>
      <c r="C24" s="412"/>
      <c r="D24" s="569"/>
      <c r="E24" s="562"/>
      <c r="F24" s="538"/>
      <c r="G24" s="785"/>
      <c r="H24" s="57"/>
      <c r="I24" s="138">
        <f>I22*0.5</f>
        <v>0.2</v>
      </c>
      <c r="J24" s="542"/>
      <c r="K24" s="533"/>
    </row>
    <row r="25" spans="1:11" s="49" customFormat="1" ht="11.25" hidden="1" customHeight="1" x14ac:dyDescent="0.35">
      <c r="A25" s="510"/>
      <c r="B25" s="544"/>
      <c r="C25" s="412"/>
      <c r="D25" s="569"/>
      <c r="E25" s="562"/>
      <c r="F25" s="538"/>
      <c r="G25" s="785"/>
      <c r="H25" s="54"/>
      <c r="I25" s="138">
        <f>I22*0.25</f>
        <v>0.1</v>
      </c>
      <c r="J25" s="542"/>
      <c r="K25" s="533"/>
    </row>
    <row r="26" spans="1:11" s="49" customFormat="1" ht="110.25" customHeight="1" x14ac:dyDescent="0.35">
      <c r="A26" s="511"/>
      <c r="B26" s="545"/>
      <c r="C26" s="412"/>
      <c r="D26" s="438"/>
      <c r="E26" s="535"/>
      <c r="F26" s="783"/>
      <c r="G26" s="539"/>
      <c r="H26" s="52" t="s">
        <v>1054</v>
      </c>
      <c r="I26" s="138">
        <v>0</v>
      </c>
      <c r="J26" s="543"/>
      <c r="K26" s="534"/>
    </row>
    <row r="27" spans="1:11" s="49" customFormat="1" ht="10" x14ac:dyDescent="0.35">
      <c r="A27" s="781" t="s">
        <v>1031</v>
      </c>
      <c r="B27" s="544" t="s">
        <v>457</v>
      </c>
      <c r="C27" s="412" t="s">
        <v>458</v>
      </c>
      <c r="D27" s="550"/>
      <c r="E27" s="782" t="s">
        <v>27</v>
      </c>
      <c r="F27" s="537">
        <f>IF(E27='Response Guidlines'!$D$81,'Response Guidlines'!$C$81, IF(E27='Response Guidlines'!$D$82,'Response Guidlines'!$C$82,IF(E27='Response Guidlines'!$D$83,'Response Guidlines'!$C$83,IF(E27='Response Guidlines'!$D$84,'Response Guidlines'!$C$84,IF(E27='Response Guidlines'!$D$85,'Response Guidlines'!$C$85,IF(E27='Response Guidlines'!$D$86,'Response Guidlines'!$C$86,IF(E27='Response Guidlines'!$D$87,'Response Guidlines'!$C$87,"No Rating")))))))</f>
        <v>4</v>
      </c>
      <c r="G27" s="784">
        <f>(F27/$F$82)/_xlfn.XLOOKUP('Scoring Summary'!$D$31,'Response Guidlines'!$D$92:$D$191,'Response Guidlines'!$C$92:$C$191,"",0,1)</f>
        <v>0.4</v>
      </c>
      <c r="H27" s="52" t="s">
        <v>1055</v>
      </c>
      <c r="I27" s="136">
        <f>G27</f>
        <v>0.4</v>
      </c>
      <c r="J27" s="541"/>
      <c r="K27" s="532"/>
    </row>
    <row r="28" spans="1:11" s="49" customFormat="1" ht="10" x14ac:dyDescent="0.35">
      <c r="A28" s="510"/>
      <c r="B28" s="544"/>
      <c r="C28" s="412"/>
      <c r="D28" s="786"/>
      <c r="E28" s="562"/>
      <c r="F28" s="538"/>
      <c r="G28" s="785"/>
      <c r="H28" s="52"/>
      <c r="I28" s="138">
        <f>I27*0.75</f>
        <v>0.30000000000000004</v>
      </c>
      <c r="J28" s="542"/>
      <c r="K28" s="533"/>
    </row>
    <row r="29" spans="1:11" s="49" customFormat="1" ht="10" x14ac:dyDescent="0.35">
      <c r="A29" s="510"/>
      <c r="B29" s="544"/>
      <c r="C29" s="412"/>
      <c r="D29" s="786"/>
      <c r="E29" s="562"/>
      <c r="F29" s="538"/>
      <c r="G29" s="785"/>
      <c r="H29" s="52" t="s">
        <v>1056</v>
      </c>
      <c r="I29" s="138">
        <f>I27*0.5</f>
        <v>0.2</v>
      </c>
      <c r="J29" s="542"/>
      <c r="K29" s="533"/>
    </row>
    <row r="30" spans="1:11" s="49" customFormat="1" ht="10" x14ac:dyDescent="0.35">
      <c r="A30" s="510"/>
      <c r="B30" s="544"/>
      <c r="C30" s="412"/>
      <c r="D30" s="786"/>
      <c r="E30" s="562"/>
      <c r="F30" s="538"/>
      <c r="G30" s="785"/>
      <c r="H30" s="52"/>
      <c r="I30" s="138">
        <f>I27*0.25</f>
        <v>0.1</v>
      </c>
      <c r="J30" s="542"/>
      <c r="K30" s="533"/>
    </row>
    <row r="31" spans="1:11" s="49" customFormat="1" ht="216.75" customHeight="1" x14ac:dyDescent="0.35">
      <c r="A31" s="511"/>
      <c r="B31" s="545"/>
      <c r="C31" s="412"/>
      <c r="D31" s="551"/>
      <c r="E31" s="535"/>
      <c r="F31" s="783"/>
      <c r="G31" s="539"/>
      <c r="H31" s="52" t="s">
        <v>1057</v>
      </c>
      <c r="I31" s="138">
        <v>0</v>
      </c>
      <c r="J31" s="543"/>
      <c r="K31" s="534"/>
    </row>
    <row r="32" spans="1:11" s="49" customFormat="1" ht="10" x14ac:dyDescent="0.35">
      <c r="A32" s="781" t="s">
        <v>1033</v>
      </c>
      <c r="B32" s="544" t="s">
        <v>459</v>
      </c>
      <c r="C32" s="412" t="s">
        <v>460</v>
      </c>
      <c r="D32" s="550"/>
      <c r="E32" s="782" t="s">
        <v>23</v>
      </c>
      <c r="F32" s="537">
        <f>IF(E32='Response Guidlines'!$D$81,'Response Guidlines'!$C$81, IF(E32='Response Guidlines'!$D$82,'Response Guidlines'!$C$82,IF(E32='Response Guidlines'!$D$83,'Response Guidlines'!$C$83,IF(E32='Response Guidlines'!$D$84,'Response Guidlines'!$C$84,IF(E32='Response Guidlines'!$D$85,'Response Guidlines'!$C$85,IF(E32='Response Guidlines'!$D$86,'Response Guidlines'!$C$86,IF(E32='Response Guidlines'!$D$87,'Response Guidlines'!$C$87,"No Rating")))))))</f>
        <v>0</v>
      </c>
      <c r="G32" s="784">
        <f>(F32/$F$82)/_xlfn.XLOOKUP('Scoring Summary'!$D$31,'Response Guidlines'!$D$92:$D$191,'Response Guidlines'!$C$92:$C$191,"",0,1)</f>
        <v>0</v>
      </c>
      <c r="H32" s="52"/>
      <c r="I32" s="136">
        <f>G32</f>
        <v>0</v>
      </c>
      <c r="J32" s="541"/>
      <c r="K32" s="550"/>
    </row>
    <row r="33" spans="1:11" s="49" customFormat="1" ht="10" x14ac:dyDescent="0.35">
      <c r="A33" s="510"/>
      <c r="B33" s="544"/>
      <c r="C33" s="412"/>
      <c r="D33" s="786"/>
      <c r="E33" s="562"/>
      <c r="F33" s="538"/>
      <c r="G33" s="785"/>
      <c r="H33" s="52"/>
      <c r="I33" s="138">
        <f>I32*0.75</f>
        <v>0</v>
      </c>
      <c r="J33" s="542"/>
      <c r="K33" s="786"/>
    </row>
    <row r="34" spans="1:11" s="49" customFormat="1" ht="10" x14ac:dyDescent="0.35">
      <c r="A34" s="510"/>
      <c r="B34" s="544"/>
      <c r="C34" s="412"/>
      <c r="D34" s="786"/>
      <c r="E34" s="562"/>
      <c r="F34" s="538"/>
      <c r="G34" s="785"/>
      <c r="H34" s="57"/>
      <c r="I34" s="138">
        <f>I32*0.5</f>
        <v>0</v>
      </c>
      <c r="J34" s="542"/>
      <c r="K34" s="786"/>
    </row>
    <row r="35" spans="1:11" s="49" customFormat="1" ht="10" x14ac:dyDescent="0.35">
      <c r="A35" s="510"/>
      <c r="B35" s="544"/>
      <c r="C35" s="412"/>
      <c r="D35" s="786"/>
      <c r="E35" s="562"/>
      <c r="F35" s="538"/>
      <c r="G35" s="785"/>
      <c r="H35" s="54"/>
      <c r="I35" s="138">
        <f>I32*0.25</f>
        <v>0</v>
      </c>
      <c r="J35" s="542"/>
      <c r="K35" s="786"/>
    </row>
    <row r="36" spans="1:11" s="49" customFormat="1" ht="97.5" customHeight="1" x14ac:dyDescent="0.35">
      <c r="A36" s="511"/>
      <c r="B36" s="545"/>
      <c r="C36" s="412"/>
      <c r="D36" s="551"/>
      <c r="E36" s="535"/>
      <c r="F36" s="783"/>
      <c r="G36" s="539"/>
      <c r="H36" s="52"/>
      <c r="I36" s="138">
        <v>0</v>
      </c>
      <c r="J36" s="543"/>
      <c r="K36" s="551"/>
    </row>
    <row r="37" spans="1:11" s="49" customFormat="1" ht="10" x14ac:dyDescent="0.35">
      <c r="A37" s="781" t="s">
        <v>1036</v>
      </c>
      <c r="B37" s="544" t="s">
        <v>461</v>
      </c>
      <c r="C37" s="412" t="s">
        <v>462</v>
      </c>
      <c r="D37" s="550"/>
      <c r="E37" s="782" t="s">
        <v>23</v>
      </c>
      <c r="F37" s="537">
        <f>IF(E37='Response Guidlines'!$D$81,'Response Guidlines'!$C$81, IF(E37='Response Guidlines'!$D$82,'Response Guidlines'!$C$82,IF(E37='Response Guidlines'!$D$83,'Response Guidlines'!$C$83,IF(E37='Response Guidlines'!$D$84,'Response Guidlines'!$C$84,IF(E37='Response Guidlines'!$D$85,'Response Guidlines'!$C$85,IF(E37='Response Guidlines'!$D$86,'Response Guidlines'!$C$86,IF(E37='Response Guidlines'!$D$87,'Response Guidlines'!$C$87,"No Rating")))))))</f>
        <v>0</v>
      </c>
      <c r="G37" s="784">
        <f>(F37/$F$82)/_xlfn.XLOOKUP('Scoring Summary'!$D$31,'Response Guidlines'!$D$92:$D$191,'Response Guidlines'!$C$92:$C$191,"",0,1)</f>
        <v>0</v>
      </c>
      <c r="H37" s="52"/>
      <c r="I37" s="136">
        <f>G37</f>
        <v>0</v>
      </c>
      <c r="J37" s="541"/>
      <c r="K37" s="550"/>
    </row>
    <row r="38" spans="1:11" s="49" customFormat="1" ht="10" x14ac:dyDescent="0.35">
      <c r="A38" s="510"/>
      <c r="B38" s="544"/>
      <c r="C38" s="412"/>
      <c r="D38" s="786"/>
      <c r="E38" s="562"/>
      <c r="F38" s="538"/>
      <c r="G38" s="785"/>
      <c r="H38" s="52"/>
      <c r="I38" s="138">
        <f>I37*0.75</f>
        <v>0</v>
      </c>
      <c r="J38" s="542"/>
      <c r="K38" s="786"/>
    </row>
    <row r="39" spans="1:11" s="49" customFormat="1" ht="10" x14ac:dyDescent="0.35">
      <c r="A39" s="510"/>
      <c r="B39" s="544"/>
      <c r="C39" s="412"/>
      <c r="D39" s="786"/>
      <c r="E39" s="562"/>
      <c r="F39" s="538"/>
      <c r="G39" s="785"/>
      <c r="H39" s="57"/>
      <c r="I39" s="138">
        <f>I37*0.5</f>
        <v>0</v>
      </c>
      <c r="J39" s="542"/>
      <c r="K39" s="786"/>
    </row>
    <row r="40" spans="1:11" s="49" customFormat="1" ht="10" x14ac:dyDescent="0.35">
      <c r="A40" s="510"/>
      <c r="B40" s="544"/>
      <c r="C40" s="412"/>
      <c r="D40" s="786"/>
      <c r="E40" s="562"/>
      <c r="F40" s="538"/>
      <c r="G40" s="785"/>
      <c r="H40" s="54"/>
      <c r="I40" s="138">
        <f>I37*0.25</f>
        <v>0</v>
      </c>
      <c r="J40" s="542"/>
      <c r="K40" s="786"/>
    </row>
    <row r="41" spans="1:11" s="49" customFormat="1" ht="177.75" customHeight="1" x14ac:dyDescent="0.35">
      <c r="A41" s="511"/>
      <c r="B41" s="545"/>
      <c r="C41" s="412"/>
      <c r="D41" s="551"/>
      <c r="E41" s="535"/>
      <c r="F41" s="783"/>
      <c r="G41" s="539"/>
      <c r="H41" s="52"/>
      <c r="I41" s="138">
        <v>0</v>
      </c>
      <c r="J41" s="543"/>
      <c r="K41" s="551"/>
    </row>
    <row r="42" spans="1:11" s="49" customFormat="1" ht="10" x14ac:dyDescent="0.35">
      <c r="A42" s="781" t="s">
        <v>1039</v>
      </c>
      <c r="B42" s="544" t="s">
        <v>463</v>
      </c>
      <c r="C42" s="412" t="s">
        <v>464</v>
      </c>
      <c r="D42" s="550"/>
      <c r="E42" s="782" t="s">
        <v>23</v>
      </c>
      <c r="F42" s="537">
        <f>IF(E42='Response Guidlines'!$D$81,'Response Guidlines'!$C$81, IF(E42='Response Guidlines'!$D$82,'Response Guidlines'!$C$82,IF(E42='Response Guidlines'!$D$83,'Response Guidlines'!$C$83,IF(E42='Response Guidlines'!$D$84,'Response Guidlines'!$C$84,IF(E42='Response Guidlines'!$D$85,'Response Guidlines'!$C$85,IF(E42='Response Guidlines'!$D$86,'Response Guidlines'!$C$86,IF(E42='Response Guidlines'!$D$87,'Response Guidlines'!$C$87,"No Rating")))))))</f>
        <v>0</v>
      </c>
      <c r="G42" s="784">
        <f>(F42/$F$82)/_xlfn.XLOOKUP('Scoring Summary'!$D$31,'Response Guidlines'!$D$92:$D$191,'Response Guidlines'!$C$92:$C$191,"",0,1)</f>
        <v>0</v>
      </c>
      <c r="H42" s="52"/>
      <c r="I42" s="136">
        <f>G42</f>
        <v>0</v>
      </c>
      <c r="J42" s="541"/>
      <c r="K42" s="550"/>
    </row>
    <row r="43" spans="1:11" s="49" customFormat="1" ht="10" x14ac:dyDescent="0.35">
      <c r="A43" s="510"/>
      <c r="B43" s="544"/>
      <c r="C43" s="412"/>
      <c r="D43" s="786"/>
      <c r="E43" s="562"/>
      <c r="F43" s="538"/>
      <c r="G43" s="785"/>
      <c r="H43" s="52"/>
      <c r="I43" s="138">
        <f>I42*0.75</f>
        <v>0</v>
      </c>
      <c r="J43" s="542"/>
      <c r="K43" s="786"/>
    </row>
    <row r="44" spans="1:11" s="49" customFormat="1" ht="10" x14ac:dyDescent="0.35">
      <c r="A44" s="510"/>
      <c r="B44" s="544"/>
      <c r="C44" s="412"/>
      <c r="D44" s="786"/>
      <c r="E44" s="562"/>
      <c r="F44" s="538"/>
      <c r="G44" s="785"/>
      <c r="H44" s="57"/>
      <c r="I44" s="138">
        <f>I42*0.5</f>
        <v>0</v>
      </c>
      <c r="J44" s="542"/>
      <c r="K44" s="786"/>
    </row>
    <row r="45" spans="1:11" s="49" customFormat="1" ht="10" x14ac:dyDescent="0.35">
      <c r="A45" s="510"/>
      <c r="B45" s="544"/>
      <c r="C45" s="412"/>
      <c r="D45" s="786"/>
      <c r="E45" s="562"/>
      <c r="F45" s="538"/>
      <c r="G45" s="785"/>
      <c r="H45" s="54"/>
      <c r="I45" s="138">
        <f>I42*0.25</f>
        <v>0</v>
      </c>
      <c r="J45" s="542"/>
      <c r="K45" s="786"/>
    </row>
    <row r="46" spans="1:11" s="49" customFormat="1" ht="90" customHeight="1" x14ac:dyDescent="0.35">
      <c r="A46" s="511"/>
      <c r="B46" s="545"/>
      <c r="C46" s="412"/>
      <c r="D46" s="551"/>
      <c r="E46" s="535"/>
      <c r="F46" s="783"/>
      <c r="G46" s="539"/>
      <c r="H46" s="52"/>
      <c r="I46" s="138">
        <v>0</v>
      </c>
      <c r="J46" s="543"/>
      <c r="K46" s="551"/>
    </row>
    <row r="47" spans="1:11" s="49" customFormat="1" ht="10" x14ac:dyDescent="0.35">
      <c r="A47" s="781" t="s">
        <v>1042</v>
      </c>
      <c r="B47" s="631" t="s">
        <v>465</v>
      </c>
      <c r="C47" s="412" t="s">
        <v>466</v>
      </c>
      <c r="D47" s="550"/>
      <c r="E47" s="782" t="s">
        <v>23</v>
      </c>
      <c r="F47" s="537">
        <f>IF(E47='Response Guidlines'!$D$81,'Response Guidlines'!$C$81, IF(E47='Response Guidlines'!$D$82,'Response Guidlines'!$C$82,IF(E47='Response Guidlines'!$D$83,'Response Guidlines'!$C$83,IF(E47='Response Guidlines'!$D$84,'Response Guidlines'!$C$84,IF(E47='Response Guidlines'!$D$85,'Response Guidlines'!$C$85,IF(E47='Response Guidlines'!$D$86,'Response Guidlines'!$C$86,IF(E47='Response Guidlines'!$D$87,'Response Guidlines'!$C$87,"No Rating")))))))</f>
        <v>0</v>
      </c>
      <c r="G47" s="784">
        <f>(F47/$F$82)/_xlfn.XLOOKUP('Scoring Summary'!$D$31,'Response Guidlines'!$D$92:$D$191,'Response Guidlines'!$C$92:$C$191,"",0,1)</f>
        <v>0</v>
      </c>
      <c r="H47" s="52"/>
      <c r="I47" s="136">
        <f>G47</f>
        <v>0</v>
      </c>
      <c r="J47" s="541"/>
      <c r="K47" s="550"/>
    </row>
    <row r="48" spans="1:11" s="49" customFormat="1" ht="10" x14ac:dyDescent="0.35">
      <c r="A48" s="510"/>
      <c r="B48" s="544"/>
      <c r="C48" s="412"/>
      <c r="D48" s="786"/>
      <c r="E48" s="562"/>
      <c r="F48" s="538"/>
      <c r="G48" s="785"/>
      <c r="H48" s="52"/>
      <c r="I48" s="138">
        <f>I47*0.75</f>
        <v>0</v>
      </c>
      <c r="J48" s="542"/>
      <c r="K48" s="786"/>
    </row>
    <row r="49" spans="1:12" s="49" customFormat="1" ht="10" x14ac:dyDescent="0.35">
      <c r="A49" s="510"/>
      <c r="B49" s="544"/>
      <c r="C49" s="412"/>
      <c r="D49" s="786"/>
      <c r="E49" s="562"/>
      <c r="F49" s="538"/>
      <c r="G49" s="785"/>
      <c r="H49" s="57"/>
      <c r="I49" s="138">
        <f>I47*0.5</f>
        <v>0</v>
      </c>
      <c r="J49" s="542"/>
      <c r="K49" s="786"/>
    </row>
    <row r="50" spans="1:12" s="49" customFormat="1" ht="10" x14ac:dyDescent="0.35">
      <c r="A50" s="510"/>
      <c r="B50" s="544"/>
      <c r="C50" s="412"/>
      <c r="D50" s="786"/>
      <c r="E50" s="562"/>
      <c r="F50" s="538"/>
      <c r="G50" s="785"/>
      <c r="H50" s="54"/>
      <c r="I50" s="138">
        <f>I47*0.25</f>
        <v>0</v>
      </c>
      <c r="J50" s="542"/>
      <c r="K50" s="786"/>
    </row>
    <row r="51" spans="1:12" s="49" customFormat="1" ht="109.5" customHeight="1" x14ac:dyDescent="0.35">
      <c r="A51" s="511"/>
      <c r="B51" s="545"/>
      <c r="C51" s="412"/>
      <c r="D51" s="551"/>
      <c r="E51" s="535"/>
      <c r="F51" s="783"/>
      <c r="G51" s="539"/>
      <c r="H51" s="52"/>
      <c r="I51" s="138">
        <v>0</v>
      </c>
      <c r="J51" s="543"/>
      <c r="K51" s="551"/>
    </row>
    <row r="52" spans="1:12" s="49" customFormat="1" ht="10" x14ac:dyDescent="0.35">
      <c r="A52" s="781" t="s">
        <v>1045</v>
      </c>
      <c r="B52" s="631" t="s">
        <v>467</v>
      </c>
      <c r="C52" s="412" t="s">
        <v>468</v>
      </c>
      <c r="D52" s="550"/>
      <c r="E52" s="782" t="s">
        <v>23</v>
      </c>
      <c r="F52" s="537">
        <f>IF(E52='Response Guidlines'!$D$81,'Response Guidlines'!$C$81, IF(E52='Response Guidlines'!$D$82,'Response Guidlines'!$C$82,IF(E52='Response Guidlines'!$D$83,'Response Guidlines'!$C$83,IF(E52='Response Guidlines'!$D$84,'Response Guidlines'!$C$84,IF(E52='Response Guidlines'!$D$85,'Response Guidlines'!$C$85,IF(E52='Response Guidlines'!$D$86,'Response Guidlines'!$C$86,IF(E52='Response Guidlines'!$D$87,'Response Guidlines'!$C$87,"No Rating")))))))</f>
        <v>0</v>
      </c>
      <c r="G52" s="784">
        <f>(F52/$F$82)/_xlfn.XLOOKUP('Scoring Summary'!$D$31,'Response Guidlines'!$D$92:$D$191,'Response Guidlines'!$C$92:$C$191,"",0,1)</f>
        <v>0</v>
      </c>
      <c r="H52" s="52"/>
      <c r="I52" s="136">
        <f>G52</f>
        <v>0</v>
      </c>
      <c r="J52" s="541"/>
      <c r="K52" s="550"/>
    </row>
    <row r="53" spans="1:12" s="49" customFormat="1" ht="10" x14ac:dyDescent="0.35">
      <c r="A53" s="510"/>
      <c r="B53" s="544"/>
      <c r="C53" s="412"/>
      <c r="D53" s="786"/>
      <c r="E53" s="562"/>
      <c r="F53" s="538"/>
      <c r="G53" s="785"/>
      <c r="H53" s="52"/>
      <c r="I53" s="138">
        <f>I52*0.75</f>
        <v>0</v>
      </c>
      <c r="J53" s="542"/>
      <c r="K53" s="786"/>
    </row>
    <row r="54" spans="1:12" s="49" customFormat="1" ht="10" x14ac:dyDescent="0.35">
      <c r="A54" s="510"/>
      <c r="B54" s="544"/>
      <c r="C54" s="412"/>
      <c r="D54" s="786"/>
      <c r="E54" s="562"/>
      <c r="F54" s="538"/>
      <c r="G54" s="785"/>
      <c r="H54" s="57"/>
      <c r="I54" s="138">
        <f>I52*0.5</f>
        <v>0</v>
      </c>
      <c r="J54" s="542"/>
      <c r="K54" s="786"/>
    </row>
    <row r="55" spans="1:12" s="49" customFormat="1" ht="10" x14ac:dyDescent="0.35">
      <c r="A55" s="510"/>
      <c r="B55" s="544"/>
      <c r="C55" s="412"/>
      <c r="D55" s="786"/>
      <c r="E55" s="562"/>
      <c r="F55" s="538"/>
      <c r="G55" s="785"/>
      <c r="H55" s="54"/>
      <c r="I55" s="138">
        <f>I52*0.25</f>
        <v>0</v>
      </c>
      <c r="J55" s="542"/>
      <c r="K55" s="786"/>
    </row>
    <row r="56" spans="1:12" s="49" customFormat="1" ht="169.5" customHeight="1" x14ac:dyDescent="0.35">
      <c r="A56" s="511"/>
      <c r="B56" s="545"/>
      <c r="C56" s="412"/>
      <c r="D56" s="551"/>
      <c r="E56" s="535"/>
      <c r="F56" s="783"/>
      <c r="G56" s="539"/>
      <c r="H56" s="52"/>
      <c r="I56" s="138">
        <v>0</v>
      </c>
      <c r="J56" s="543"/>
      <c r="K56" s="551"/>
    </row>
    <row r="57" spans="1:12" s="49" customFormat="1" ht="11.15" customHeight="1" x14ac:dyDescent="0.35">
      <c r="A57" s="781" t="s">
        <v>1058</v>
      </c>
      <c r="B57" s="781"/>
      <c r="C57" s="553"/>
      <c r="D57" s="550"/>
      <c r="E57" s="782" t="s">
        <v>23</v>
      </c>
      <c r="F57" s="537">
        <f>IF(E57='Response Guidlines'!$D$81,'Response Guidlines'!$C$81, IF(E57='Response Guidlines'!$D$82,'Response Guidlines'!$C$82,IF(E57='Response Guidlines'!$D$83,'Response Guidlines'!$C$83,IF(E57='Response Guidlines'!$D$84,'Response Guidlines'!$C$84,IF(E57='Response Guidlines'!$D$85,'Response Guidlines'!$C$85,IF(E57='Response Guidlines'!$D$86,'Response Guidlines'!$C$86,IF(E57='Response Guidlines'!$D$87,'Response Guidlines'!$C$87,"No Rating")))))))</f>
        <v>0</v>
      </c>
      <c r="G57" s="784">
        <f>(F57/$F$82)/_xlfn.XLOOKUP('Scoring Summary'!$D$31,'Response Guidlines'!$D$92:$D$191,'Response Guidlines'!$C$92:$C$191,"",0,1)</f>
        <v>0</v>
      </c>
      <c r="H57" s="52"/>
      <c r="I57" s="136">
        <f>G57</f>
        <v>0</v>
      </c>
      <c r="J57" s="541"/>
      <c r="K57" s="550"/>
      <c r="L57" s="77"/>
    </row>
    <row r="58" spans="1:12" s="49" customFormat="1" ht="11.15" customHeight="1" x14ac:dyDescent="0.35">
      <c r="A58" s="510"/>
      <c r="B58" s="510"/>
      <c r="C58" s="787"/>
      <c r="D58" s="786"/>
      <c r="E58" s="562"/>
      <c r="F58" s="538"/>
      <c r="G58" s="785"/>
      <c r="H58" s="52"/>
      <c r="I58" s="138">
        <f>I57*0.75</f>
        <v>0</v>
      </c>
      <c r="J58" s="542"/>
      <c r="K58" s="786"/>
      <c r="L58" s="77"/>
    </row>
    <row r="59" spans="1:12" s="49" customFormat="1" ht="11.15" customHeight="1" x14ac:dyDescent="0.35">
      <c r="A59" s="510"/>
      <c r="B59" s="510"/>
      <c r="C59" s="787"/>
      <c r="D59" s="786"/>
      <c r="E59" s="562"/>
      <c r="F59" s="538"/>
      <c r="G59" s="785"/>
      <c r="H59" s="57"/>
      <c r="I59" s="138">
        <f>I57*0.5</f>
        <v>0</v>
      </c>
      <c r="J59" s="542"/>
      <c r="K59" s="786"/>
      <c r="L59" s="77"/>
    </row>
    <row r="60" spans="1:12" s="49" customFormat="1" ht="11.15" customHeight="1" x14ac:dyDescent="0.35">
      <c r="A60" s="510"/>
      <c r="B60" s="510"/>
      <c r="C60" s="787"/>
      <c r="D60" s="786"/>
      <c r="E60" s="562"/>
      <c r="F60" s="538"/>
      <c r="G60" s="785"/>
      <c r="H60" s="54"/>
      <c r="I60" s="138">
        <f>I57*0.25</f>
        <v>0</v>
      </c>
      <c r="J60" s="542"/>
      <c r="K60" s="786"/>
      <c r="L60" s="77"/>
    </row>
    <row r="61" spans="1:12" s="49" customFormat="1" ht="11.15" customHeight="1" x14ac:dyDescent="0.35">
      <c r="A61" s="511"/>
      <c r="B61" s="510"/>
      <c r="C61" s="788"/>
      <c r="D61" s="551"/>
      <c r="E61" s="535"/>
      <c r="F61" s="783"/>
      <c r="G61" s="539"/>
      <c r="H61" s="52"/>
      <c r="I61" s="138">
        <v>0</v>
      </c>
      <c r="J61" s="543"/>
      <c r="K61" s="551"/>
      <c r="L61" s="77"/>
    </row>
    <row r="62" spans="1:12" s="49" customFormat="1" x14ac:dyDescent="0.35">
      <c r="A62" s="781" t="s">
        <v>1059</v>
      </c>
      <c r="B62" s="193"/>
      <c r="C62" s="553"/>
      <c r="D62" s="550"/>
      <c r="E62" s="782" t="s">
        <v>23</v>
      </c>
      <c r="F62" s="537">
        <f>IF(E62='Response Guidlines'!$D$81,'Response Guidlines'!$C$81, IF(E62='Response Guidlines'!$D$82,'Response Guidlines'!$C$82,IF(E62='Response Guidlines'!$D$83,'Response Guidlines'!$C$83,IF(E62='Response Guidlines'!$D$84,'Response Guidlines'!$C$84,IF(E62='Response Guidlines'!$D$85,'Response Guidlines'!$C$85,IF(E62='Response Guidlines'!$D$86,'Response Guidlines'!$C$86,IF(E62='Response Guidlines'!$D$87,'Response Guidlines'!$C$87,"No Rating")))))))</f>
        <v>0</v>
      </c>
      <c r="G62" s="784">
        <f>(F62/$F$82)/_xlfn.XLOOKUP('Scoring Summary'!$D$31,'Response Guidlines'!$D$92:$D$191,'Response Guidlines'!$C$92:$C$191,"",0,1)</f>
        <v>0</v>
      </c>
      <c r="H62" s="52"/>
      <c r="I62" s="136">
        <f>G62</f>
        <v>0</v>
      </c>
      <c r="J62" s="541"/>
      <c r="K62" s="550"/>
      <c r="L62" s="77"/>
    </row>
    <row r="63" spans="1:12" s="49" customFormat="1" x14ac:dyDescent="0.35">
      <c r="A63" s="510"/>
      <c r="B63" s="194"/>
      <c r="C63" s="787"/>
      <c r="D63" s="786"/>
      <c r="E63" s="562"/>
      <c r="F63" s="538"/>
      <c r="G63" s="785"/>
      <c r="H63" s="52"/>
      <c r="I63" s="138">
        <f>I62*0.75</f>
        <v>0</v>
      </c>
      <c r="J63" s="542"/>
      <c r="K63" s="786"/>
      <c r="L63" s="77"/>
    </row>
    <row r="64" spans="1:12" s="49" customFormat="1" x14ac:dyDescent="0.35">
      <c r="A64" s="510"/>
      <c r="B64" s="194"/>
      <c r="C64" s="787"/>
      <c r="D64" s="786"/>
      <c r="E64" s="562"/>
      <c r="F64" s="538"/>
      <c r="G64" s="785"/>
      <c r="H64" s="57"/>
      <c r="I64" s="138">
        <f>I62*0.5</f>
        <v>0</v>
      </c>
      <c r="J64" s="542"/>
      <c r="K64" s="786"/>
      <c r="L64" s="77"/>
    </row>
    <row r="65" spans="1:12" s="49" customFormat="1" x14ac:dyDescent="0.35">
      <c r="A65" s="510"/>
      <c r="B65" s="194"/>
      <c r="C65" s="787"/>
      <c r="D65" s="786"/>
      <c r="E65" s="562"/>
      <c r="F65" s="538"/>
      <c r="G65" s="785"/>
      <c r="H65" s="54"/>
      <c r="I65" s="138">
        <f>I62*0.25</f>
        <v>0</v>
      </c>
      <c r="J65" s="542"/>
      <c r="K65" s="786"/>
      <c r="L65" s="77"/>
    </row>
    <row r="66" spans="1:12" s="49" customFormat="1" x14ac:dyDescent="0.35">
      <c r="A66" s="511"/>
      <c r="B66" s="195"/>
      <c r="C66" s="788"/>
      <c r="D66" s="551"/>
      <c r="E66" s="535"/>
      <c r="F66" s="783"/>
      <c r="G66" s="539"/>
      <c r="H66" s="52"/>
      <c r="I66" s="138">
        <v>0</v>
      </c>
      <c r="J66" s="543"/>
      <c r="K66" s="551"/>
      <c r="L66" s="77"/>
    </row>
    <row r="67" spans="1:12" s="49" customFormat="1" ht="10.15" customHeight="1" x14ac:dyDescent="0.35">
      <c r="A67" s="781" t="s">
        <v>1060</v>
      </c>
      <c r="B67" s="193"/>
      <c r="C67" s="553"/>
      <c r="D67" s="550"/>
      <c r="E67" s="782" t="s">
        <v>23</v>
      </c>
      <c r="F67" s="537">
        <f>IF(E67='Response Guidlines'!$D$81,'Response Guidlines'!$C$81, IF(E67='Response Guidlines'!$D$82,'Response Guidlines'!$C$82,IF(E67='Response Guidlines'!$D$83,'Response Guidlines'!$C$83,IF(E67='Response Guidlines'!$D$84,'Response Guidlines'!$C$84,IF(E67='Response Guidlines'!$D$85,'Response Guidlines'!$C$85,IF(E67='Response Guidlines'!$D$86,'Response Guidlines'!$C$86,IF(E67='Response Guidlines'!$D$87,'Response Guidlines'!$C$87,"No Rating")))))))</f>
        <v>0</v>
      </c>
      <c r="G67" s="784">
        <f>(F67/$F$82)/_xlfn.XLOOKUP('Scoring Summary'!$D$31,'Response Guidlines'!$D$92:$D$191,'Response Guidlines'!$C$92:$C$191,"",0,1)</f>
        <v>0</v>
      </c>
      <c r="H67" s="52"/>
      <c r="I67" s="136">
        <f>G67</f>
        <v>0</v>
      </c>
      <c r="J67" s="541"/>
      <c r="K67" s="550"/>
    </row>
    <row r="68" spans="1:12" s="49" customFormat="1" ht="12.75" customHeight="1" x14ac:dyDescent="0.35">
      <c r="A68" s="510"/>
      <c r="B68" s="194"/>
      <c r="C68" s="787"/>
      <c r="D68" s="786"/>
      <c r="E68" s="562"/>
      <c r="F68" s="538"/>
      <c r="G68" s="785"/>
      <c r="H68" s="52"/>
      <c r="I68" s="138">
        <f>I67*0.75</f>
        <v>0</v>
      </c>
      <c r="J68" s="542"/>
      <c r="K68" s="786"/>
    </row>
    <row r="69" spans="1:12" s="49" customFormat="1" ht="12.75" customHeight="1" x14ac:dyDescent="0.35">
      <c r="A69" s="510"/>
      <c r="B69" s="194"/>
      <c r="C69" s="787"/>
      <c r="D69" s="786"/>
      <c r="E69" s="562"/>
      <c r="F69" s="538"/>
      <c r="G69" s="785"/>
      <c r="H69" s="57"/>
      <c r="I69" s="138">
        <f>I67*0.5</f>
        <v>0</v>
      </c>
      <c r="J69" s="542"/>
      <c r="K69" s="786"/>
    </row>
    <row r="70" spans="1:12" s="49" customFormat="1" ht="12.75" customHeight="1" x14ac:dyDescent="0.35">
      <c r="A70" s="510"/>
      <c r="B70" s="194"/>
      <c r="C70" s="787"/>
      <c r="D70" s="786"/>
      <c r="E70" s="562"/>
      <c r="F70" s="538"/>
      <c r="G70" s="785"/>
      <c r="H70" s="54"/>
      <c r="I70" s="138">
        <f>I67*0.25</f>
        <v>0</v>
      </c>
      <c r="J70" s="542"/>
      <c r="K70" s="786"/>
    </row>
    <row r="71" spans="1:12" s="49" customFormat="1" ht="11.15" customHeight="1" x14ac:dyDescent="0.35">
      <c r="A71" s="511"/>
      <c r="B71" s="195"/>
      <c r="C71" s="788"/>
      <c r="D71" s="551"/>
      <c r="E71" s="535"/>
      <c r="F71" s="783"/>
      <c r="G71" s="539"/>
      <c r="H71" s="52"/>
      <c r="I71" s="138">
        <v>0</v>
      </c>
      <c r="J71" s="543"/>
      <c r="K71" s="551"/>
    </row>
    <row r="72" spans="1:12" s="49" customFormat="1" ht="10.15" customHeight="1" x14ac:dyDescent="0.35">
      <c r="A72" s="781" t="s">
        <v>1061</v>
      </c>
      <c r="B72" s="193"/>
      <c r="C72" s="553"/>
      <c r="D72" s="550"/>
      <c r="E72" s="782" t="s">
        <v>23</v>
      </c>
      <c r="F72" s="537">
        <f>IF(E72='Response Guidlines'!$D$81,'Response Guidlines'!$C$81, IF(E72='Response Guidlines'!$D$82,'Response Guidlines'!$C$82,IF(E72='Response Guidlines'!$D$83,'Response Guidlines'!$C$83,IF(E72='Response Guidlines'!$D$84,'Response Guidlines'!$C$84,IF(E72='Response Guidlines'!$D$85,'Response Guidlines'!$C$85,IF(E72='Response Guidlines'!$D$86,'Response Guidlines'!$C$86,IF(E72='Response Guidlines'!$D$87,'Response Guidlines'!$C$87,"No Rating")))))))</f>
        <v>0</v>
      </c>
      <c r="G72" s="784">
        <f>(F72/$F$82)/_xlfn.XLOOKUP('Scoring Summary'!$D$31,'Response Guidlines'!$D$92:$D$191,'Response Guidlines'!$C$92:$C$191,"",0,1)</f>
        <v>0</v>
      </c>
      <c r="H72" s="52"/>
      <c r="I72" s="136">
        <f>G72</f>
        <v>0</v>
      </c>
      <c r="J72" s="541"/>
      <c r="K72" s="550"/>
    </row>
    <row r="73" spans="1:12" s="49" customFormat="1" ht="12.75" customHeight="1" x14ac:dyDescent="0.35">
      <c r="A73" s="510"/>
      <c r="B73" s="194"/>
      <c r="C73" s="787"/>
      <c r="D73" s="786"/>
      <c r="E73" s="562"/>
      <c r="F73" s="538"/>
      <c r="G73" s="785"/>
      <c r="H73" s="52"/>
      <c r="I73" s="138">
        <f>I72*0.75</f>
        <v>0</v>
      </c>
      <c r="J73" s="542"/>
      <c r="K73" s="786"/>
    </row>
    <row r="74" spans="1:12" s="49" customFormat="1" ht="12.75" customHeight="1" x14ac:dyDescent="0.35">
      <c r="A74" s="510"/>
      <c r="B74" s="194"/>
      <c r="C74" s="787"/>
      <c r="D74" s="786"/>
      <c r="E74" s="562"/>
      <c r="F74" s="538"/>
      <c r="G74" s="785"/>
      <c r="H74" s="57"/>
      <c r="I74" s="138">
        <f>I72*0.5</f>
        <v>0</v>
      </c>
      <c r="J74" s="542"/>
      <c r="K74" s="786"/>
    </row>
    <row r="75" spans="1:12" s="49" customFormat="1" ht="12.75" customHeight="1" x14ac:dyDescent="0.35">
      <c r="A75" s="510"/>
      <c r="B75" s="194"/>
      <c r="C75" s="787"/>
      <c r="D75" s="786"/>
      <c r="E75" s="562"/>
      <c r="F75" s="538"/>
      <c r="G75" s="785"/>
      <c r="H75" s="54"/>
      <c r="I75" s="138">
        <f>I72*0.25</f>
        <v>0</v>
      </c>
      <c r="J75" s="542"/>
      <c r="K75" s="786"/>
    </row>
    <row r="76" spans="1:12" s="49" customFormat="1" ht="11.15" customHeight="1" x14ac:dyDescent="0.35">
      <c r="A76" s="511"/>
      <c r="B76" s="195"/>
      <c r="C76" s="788"/>
      <c r="D76" s="551"/>
      <c r="E76" s="535"/>
      <c r="F76" s="783"/>
      <c r="G76" s="539"/>
      <c r="H76" s="52"/>
      <c r="I76" s="138">
        <v>0</v>
      </c>
      <c r="J76" s="543"/>
      <c r="K76" s="551"/>
    </row>
    <row r="77" spans="1:12" s="49" customFormat="1" ht="18.649999999999999" customHeight="1" x14ac:dyDescent="0.35">
      <c r="A77" s="781" t="s">
        <v>1062</v>
      </c>
      <c r="B77" s="193"/>
      <c r="C77" s="553"/>
      <c r="D77" s="550"/>
      <c r="E77" s="782" t="s">
        <v>23</v>
      </c>
      <c r="F77" s="537">
        <f>IF(E77='Response Guidlines'!$D$81,'Response Guidlines'!$C$81, IF(E77='Response Guidlines'!$D$82,'Response Guidlines'!$C$82,IF(E77='Response Guidlines'!$D$83,'Response Guidlines'!$C$83,IF(E77='Response Guidlines'!$D$84,'Response Guidlines'!$C$84,IF(E77='Response Guidlines'!$D$85,'Response Guidlines'!$C$85,IF(E77='Response Guidlines'!$D$86,'Response Guidlines'!$C$86,IF(E77='Response Guidlines'!$D$87,'Response Guidlines'!$C$87,"No Rating")))))))</f>
        <v>0</v>
      </c>
      <c r="G77" s="784">
        <f>(F77/$F$82)/_xlfn.XLOOKUP('Scoring Summary'!$D$31,'Response Guidlines'!$D$92:$D$191,'Response Guidlines'!$C$92:$C$191,"",0,1)</f>
        <v>0</v>
      </c>
      <c r="H77" s="52"/>
      <c r="I77" s="136">
        <f>G77</f>
        <v>0</v>
      </c>
      <c r="J77" s="541"/>
      <c r="K77" s="550"/>
    </row>
    <row r="78" spans="1:12" s="49" customFormat="1" ht="18.649999999999999" customHeight="1" x14ac:dyDescent="0.35">
      <c r="A78" s="510"/>
      <c r="B78" s="194"/>
      <c r="C78" s="787"/>
      <c r="D78" s="786"/>
      <c r="E78" s="562"/>
      <c r="F78" s="538"/>
      <c r="G78" s="785"/>
      <c r="H78" s="52"/>
      <c r="I78" s="138">
        <f>I77*0.75</f>
        <v>0</v>
      </c>
      <c r="J78" s="542"/>
      <c r="K78" s="786"/>
    </row>
    <row r="79" spans="1:12" s="49" customFormat="1" ht="18.649999999999999" customHeight="1" x14ac:dyDescent="0.35">
      <c r="A79" s="510"/>
      <c r="B79" s="194"/>
      <c r="C79" s="787"/>
      <c r="D79" s="786"/>
      <c r="E79" s="562"/>
      <c r="F79" s="538"/>
      <c r="G79" s="785"/>
      <c r="H79" s="57"/>
      <c r="I79" s="138">
        <f>I77*0.5</f>
        <v>0</v>
      </c>
      <c r="J79" s="542"/>
      <c r="K79" s="786"/>
    </row>
    <row r="80" spans="1:12" s="49" customFormat="1" ht="18.649999999999999" customHeight="1" x14ac:dyDescent="0.35">
      <c r="A80" s="510"/>
      <c r="B80" s="194"/>
      <c r="C80" s="787"/>
      <c r="D80" s="786"/>
      <c r="E80" s="562"/>
      <c r="F80" s="538"/>
      <c r="G80" s="785"/>
      <c r="H80" s="54"/>
      <c r="I80" s="138">
        <f>I77*0.25</f>
        <v>0</v>
      </c>
      <c r="J80" s="542"/>
      <c r="K80" s="786"/>
    </row>
    <row r="81" spans="1:11" s="49" customFormat="1" ht="18.649999999999999" customHeight="1" thickBot="1" x14ac:dyDescent="0.4">
      <c r="A81" s="510"/>
      <c r="B81" s="194"/>
      <c r="C81" s="787"/>
      <c r="D81" s="786"/>
      <c r="E81" s="562"/>
      <c r="F81" s="538"/>
      <c r="G81" s="785"/>
      <c r="H81" s="54"/>
      <c r="I81" s="139">
        <v>0</v>
      </c>
      <c r="J81" s="542"/>
      <c r="K81" s="551"/>
    </row>
    <row r="82" spans="1:11" s="49" customFormat="1" ht="16.149999999999999" customHeight="1" thickBot="1" x14ac:dyDescent="0.4">
      <c r="A82" s="144"/>
      <c r="B82" s="148"/>
      <c r="C82" s="82" t="s">
        <v>138</v>
      </c>
      <c r="D82" s="82"/>
      <c r="E82" s="82"/>
      <c r="F82" s="145">
        <f>SUM(F17:F81)</f>
        <v>10</v>
      </c>
      <c r="G82" s="84">
        <f>SUM(G17:G81)</f>
        <v>1</v>
      </c>
      <c r="H82" s="478" t="s">
        <v>139</v>
      </c>
      <c r="I82" s="479"/>
      <c r="J82" s="50">
        <f>SUM(J17:J81)</f>
        <v>0</v>
      </c>
      <c r="K82" s="81"/>
    </row>
  </sheetData>
  <mergeCells count="117">
    <mergeCell ref="H82:I82"/>
    <mergeCell ref="J72:J76"/>
    <mergeCell ref="K72:K76"/>
    <mergeCell ref="A77:A81"/>
    <mergeCell ref="C77:C81"/>
    <mergeCell ref="D77:D81"/>
    <mergeCell ref="E77:E81"/>
    <mergeCell ref="F77:F81"/>
    <mergeCell ref="G77:G81"/>
    <mergeCell ref="J77:J81"/>
    <mergeCell ref="K77:K81"/>
    <mergeCell ref="A72:A76"/>
    <mergeCell ref="C72:C76"/>
    <mergeCell ref="D72:D76"/>
    <mergeCell ref="E72:E76"/>
    <mergeCell ref="F72:F76"/>
    <mergeCell ref="G72:G76"/>
    <mergeCell ref="J62:J66"/>
    <mergeCell ref="K62:K66"/>
    <mergeCell ref="A67:A71"/>
    <mergeCell ref="C67:C71"/>
    <mergeCell ref="D67:D71"/>
    <mergeCell ref="E67:E71"/>
    <mergeCell ref="F67:F71"/>
    <mergeCell ref="G67:G71"/>
    <mergeCell ref="J67:J71"/>
    <mergeCell ref="K67:K71"/>
    <mergeCell ref="A62:A66"/>
    <mergeCell ref="C62:C66"/>
    <mergeCell ref="D62:D66"/>
    <mergeCell ref="E62:E66"/>
    <mergeCell ref="F62:F66"/>
    <mergeCell ref="G62:G66"/>
    <mergeCell ref="J52:J56"/>
    <mergeCell ref="K52:K56"/>
    <mergeCell ref="A57:A61"/>
    <mergeCell ref="C57:C61"/>
    <mergeCell ref="D57:D61"/>
    <mergeCell ref="E57:E61"/>
    <mergeCell ref="F57:F61"/>
    <mergeCell ref="G57:G61"/>
    <mergeCell ref="J57:J61"/>
    <mergeCell ref="K57:K61"/>
    <mergeCell ref="A52:A56"/>
    <mergeCell ref="C52:C56"/>
    <mergeCell ref="D52:D56"/>
    <mergeCell ref="E52:E56"/>
    <mergeCell ref="F52:F56"/>
    <mergeCell ref="G52:G56"/>
    <mergeCell ref="B52:B56"/>
    <mergeCell ref="B57:B61"/>
    <mergeCell ref="J42:J46"/>
    <mergeCell ref="K42:K46"/>
    <mergeCell ref="A47:A51"/>
    <mergeCell ref="C47:C51"/>
    <mergeCell ref="D47:D51"/>
    <mergeCell ref="E47:E51"/>
    <mergeCell ref="F47:F51"/>
    <mergeCell ref="G47:G51"/>
    <mergeCell ref="J47:J51"/>
    <mergeCell ref="K47:K51"/>
    <mergeCell ref="A42:A46"/>
    <mergeCell ref="C42:C46"/>
    <mergeCell ref="D42:D46"/>
    <mergeCell ref="E42:E46"/>
    <mergeCell ref="F42:F46"/>
    <mergeCell ref="G42:G46"/>
    <mergeCell ref="B42:B46"/>
    <mergeCell ref="B47:B51"/>
    <mergeCell ref="J32:J36"/>
    <mergeCell ref="K32:K36"/>
    <mergeCell ref="A37:A41"/>
    <mergeCell ref="C37:C41"/>
    <mergeCell ref="D37:D41"/>
    <mergeCell ref="E37:E41"/>
    <mergeCell ref="F37:F41"/>
    <mergeCell ref="G37:G41"/>
    <mergeCell ref="J37:J41"/>
    <mergeCell ref="K37:K41"/>
    <mergeCell ref="A32:A36"/>
    <mergeCell ref="C32:C36"/>
    <mergeCell ref="D32:D36"/>
    <mergeCell ref="E32:E36"/>
    <mergeCell ref="F32:F36"/>
    <mergeCell ref="G32:G36"/>
    <mergeCell ref="B32:B36"/>
    <mergeCell ref="B37:B41"/>
    <mergeCell ref="J22:J26"/>
    <mergeCell ref="K22:K26"/>
    <mergeCell ref="A27:A31"/>
    <mergeCell ref="C27:C31"/>
    <mergeCell ref="D27:D31"/>
    <mergeCell ref="E27:E31"/>
    <mergeCell ref="F27:F31"/>
    <mergeCell ref="G27:G31"/>
    <mergeCell ref="J27:J31"/>
    <mergeCell ref="K27:K31"/>
    <mergeCell ref="A22:A26"/>
    <mergeCell ref="C22:C26"/>
    <mergeCell ref="D22:D26"/>
    <mergeCell ref="E22:E26"/>
    <mergeCell ref="F22:F26"/>
    <mergeCell ref="G22:G26"/>
    <mergeCell ref="B22:B26"/>
    <mergeCell ref="B27:B31"/>
    <mergeCell ref="A17:A21"/>
    <mergeCell ref="C17:C21"/>
    <mergeCell ref="D17:D21"/>
    <mergeCell ref="E17:E21"/>
    <mergeCell ref="F17:F21"/>
    <mergeCell ref="G17:G21"/>
    <mergeCell ref="J17:J21"/>
    <mergeCell ref="K17:K21"/>
    <mergeCell ref="F2:J4"/>
    <mergeCell ref="A15:A16"/>
    <mergeCell ref="C15:D15"/>
    <mergeCell ref="B17:B21"/>
  </mergeCells>
  <phoneticPr fontId="34" type="noConversion"/>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54FB60E-AF07-48AC-A283-EBA102D66FFC}">
          <x14:formula1>
            <xm:f>'Response Guidlines'!$D$81:$D$87</xm:f>
          </x14:formula1>
          <xm:sqref>E17:E81</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78264-2F44-44FF-A754-32061761783D}">
  <sheetPr>
    <tabColor theme="7"/>
    <pageSetUpPr fitToPage="1"/>
  </sheetPr>
  <dimension ref="A1:K27"/>
  <sheetViews>
    <sheetView topLeftCell="A15" zoomScale="115" zoomScaleNormal="115" workbookViewId="0">
      <pane xSplit="2" ySplit="2" topLeftCell="D17" activePane="bottomRight" state="frozen"/>
      <selection pane="topRight" activeCell="D17" sqref="D17:D41"/>
      <selection pane="bottomLeft" activeCell="D17" sqref="D17:D41"/>
      <selection pane="bottomRight" activeCell="D17" sqref="D17:D41"/>
    </sheetView>
  </sheetViews>
  <sheetFormatPr defaultColWidth="9.26953125" defaultRowHeight="10.5" x14ac:dyDescent="0.25"/>
  <cols>
    <col min="1" max="2" width="11.7265625" style="19" customWidth="1"/>
    <col min="3" max="3" width="69.7265625" style="18" customWidth="1"/>
    <col min="4" max="4" width="44.54296875" style="18" customWidth="1"/>
    <col min="5" max="5" width="10" style="18" bestFit="1" customWidth="1"/>
    <col min="6" max="6" width="7.54296875" style="18" customWidth="1"/>
    <col min="7" max="7" width="7.26953125" style="17" customWidth="1"/>
    <col min="8" max="8" width="35.7265625" style="16" customWidth="1"/>
    <col min="9" max="9" width="6.26953125" style="15" bestFit="1" customWidth="1"/>
    <col min="10" max="10" width="5.453125" style="13" customWidth="1"/>
    <col min="11" max="11" width="44" style="14" customWidth="1"/>
    <col min="12" max="12" width="8.54296875" style="13" customWidth="1"/>
    <col min="13" max="13" width="9.26953125" style="13"/>
    <col min="14" max="14" width="22.453125" style="13" customWidth="1"/>
    <col min="15" max="16384" width="9.26953125" style="13"/>
  </cols>
  <sheetData>
    <row r="1" spans="1:11" ht="11" hidden="1" thickBot="1" x14ac:dyDescent="0.3">
      <c r="C1" s="76"/>
      <c r="D1" s="76"/>
      <c r="E1" s="76"/>
      <c r="F1" s="76"/>
    </row>
    <row r="2" spans="1:11" ht="14.65" hidden="1" customHeight="1" x14ac:dyDescent="0.35">
      <c r="C2" s="11" t="s">
        <v>51</v>
      </c>
      <c r="D2" s="12" t="str">
        <f>'Scoring Summary'!C2</f>
        <v>&lt;insert before tender publication&gt;</v>
      </c>
      <c r="E2" s="75"/>
      <c r="F2" s="390" t="s">
        <v>955</v>
      </c>
      <c r="G2" s="390"/>
      <c r="H2" s="390"/>
      <c r="I2" s="390"/>
      <c r="J2" s="390"/>
      <c r="K2" s="46"/>
    </row>
    <row r="3" spans="1:11" ht="14.65" hidden="1" customHeight="1" x14ac:dyDescent="0.35">
      <c r="C3" s="11" t="s">
        <v>54</v>
      </c>
      <c r="D3" s="12" t="str">
        <f>'Scoring Summary'!C3</f>
        <v>IT00641 Dx Commercial Energy Trader (Dx CET)</v>
      </c>
      <c r="E3" s="75"/>
      <c r="F3" s="390"/>
      <c r="G3" s="390"/>
      <c r="H3" s="390"/>
      <c r="I3" s="390"/>
      <c r="J3" s="390"/>
      <c r="K3" s="46"/>
    </row>
    <row r="4" spans="1:11" ht="14.65" hidden="1" customHeight="1" x14ac:dyDescent="0.35">
      <c r="C4" s="11" t="s">
        <v>1050</v>
      </c>
      <c r="D4" s="12" t="s">
        <v>52</v>
      </c>
      <c r="E4" s="75"/>
      <c r="F4" s="390"/>
      <c r="G4" s="390"/>
      <c r="H4" s="390"/>
      <c r="I4" s="390"/>
      <c r="J4" s="390"/>
      <c r="K4" s="46"/>
    </row>
    <row r="5" spans="1:11" ht="14.65" hidden="1" customHeight="1" x14ac:dyDescent="0.35">
      <c r="C5" s="11" t="s">
        <v>84</v>
      </c>
      <c r="D5" s="10" t="str">
        <f>'Scoring Summary'!C5</f>
        <v>&lt;Evaluator to complete&gt;</v>
      </c>
      <c r="E5" s="75"/>
      <c r="F5" s="46"/>
      <c r="G5" s="46"/>
      <c r="H5" s="46"/>
      <c r="I5" s="46"/>
      <c r="J5" s="46"/>
      <c r="K5" s="46"/>
    </row>
    <row r="6" spans="1:11" ht="14.65" hidden="1" customHeight="1" x14ac:dyDescent="0.35">
      <c r="C6" s="11" t="s">
        <v>58</v>
      </c>
      <c r="D6" s="10" t="str">
        <f>'Scoring Summary'!C6</f>
        <v>&lt;Evaluator to complete&gt;</v>
      </c>
      <c r="E6" s="46"/>
      <c r="F6" s="46"/>
      <c r="G6" s="46"/>
      <c r="H6" s="46"/>
      <c r="I6" s="46"/>
      <c r="J6" s="46"/>
      <c r="K6" s="46"/>
    </row>
    <row r="7" spans="1:11" ht="14.65" hidden="1" customHeight="1" x14ac:dyDescent="0.35">
      <c r="C7" s="11" t="s">
        <v>59</v>
      </c>
      <c r="D7" s="10" t="str">
        <f>'Scoring Summary'!C7</f>
        <v>&lt;Evaluator to complete&gt;</v>
      </c>
      <c r="E7" s="46"/>
      <c r="F7" s="46"/>
      <c r="G7" s="46"/>
      <c r="H7" s="46"/>
      <c r="I7" s="46"/>
      <c r="J7" s="46"/>
      <c r="K7" s="46"/>
    </row>
    <row r="8" spans="1:11" ht="27.65" hidden="1" customHeight="1" x14ac:dyDescent="0.35">
      <c r="C8" s="11" t="s">
        <v>60</v>
      </c>
      <c r="D8" s="10"/>
      <c r="E8" s="46"/>
      <c r="F8" s="46"/>
      <c r="G8" s="46"/>
      <c r="H8" s="46"/>
      <c r="I8" s="46"/>
      <c r="J8" s="46"/>
      <c r="K8" s="46"/>
    </row>
    <row r="9" spans="1:11" ht="12" hidden="1" customHeight="1" x14ac:dyDescent="0.25"/>
    <row r="10" spans="1:11" ht="43.15" hidden="1" customHeight="1" x14ac:dyDescent="0.25"/>
    <row r="11" spans="1:11" ht="43.15" hidden="1" customHeight="1" x14ac:dyDescent="0.25">
      <c r="C11" s="30"/>
      <c r="D11" s="30"/>
      <c r="E11" s="30"/>
      <c r="F11" s="30"/>
    </row>
    <row r="12" spans="1:11" ht="43.15" hidden="1" customHeight="1" x14ac:dyDescent="0.25"/>
    <row r="13" spans="1:11" ht="43.15" hidden="1" customHeight="1" x14ac:dyDescent="0.25">
      <c r="C13" s="30"/>
      <c r="D13" s="30"/>
      <c r="E13" s="30"/>
      <c r="F13" s="30"/>
    </row>
    <row r="14" spans="1:11" ht="11" hidden="1" thickBot="1" x14ac:dyDescent="0.3">
      <c r="C14" s="30"/>
      <c r="D14" s="30"/>
      <c r="E14" s="30"/>
      <c r="F14" s="30"/>
    </row>
    <row r="15" spans="1:11" ht="14.65" customHeight="1" x14ac:dyDescent="0.2">
      <c r="A15" s="500" t="s">
        <v>85</v>
      </c>
      <c r="B15" s="192"/>
      <c r="C15" s="502" t="s">
        <v>86</v>
      </c>
      <c r="D15" s="503"/>
      <c r="E15" s="109"/>
      <c r="F15" s="74"/>
      <c r="G15" s="73" t="s">
        <v>88</v>
      </c>
      <c r="H15" s="72"/>
      <c r="I15" s="72"/>
      <c r="J15" s="72"/>
      <c r="K15" s="71"/>
    </row>
    <row r="16" spans="1:11" s="49" customFormat="1" ht="49" thickBot="1" x14ac:dyDescent="0.4">
      <c r="A16" s="501"/>
      <c r="B16" s="149" t="s">
        <v>168</v>
      </c>
      <c r="C16" s="70" t="s">
        <v>89</v>
      </c>
      <c r="D16" s="70" t="s">
        <v>957</v>
      </c>
      <c r="E16" s="65" t="s">
        <v>92</v>
      </c>
      <c r="F16" s="64" t="s">
        <v>93</v>
      </c>
      <c r="G16" s="63" t="s">
        <v>94</v>
      </c>
      <c r="H16" s="62" t="s">
        <v>95</v>
      </c>
      <c r="I16" s="61" t="s">
        <v>96</v>
      </c>
      <c r="J16" s="60" t="s">
        <v>67</v>
      </c>
      <c r="K16" s="59" t="s">
        <v>68</v>
      </c>
    </row>
    <row r="17" spans="1:11" s="49" customFormat="1" ht="31.5" x14ac:dyDescent="0.35">
      <c r="A17" s="781" t="s">
        <v>1029</v>
      </c>
      <c r="B17" s="544" t="s">
        <v>455</v>
      </c>
      <c r="C17" s="412" t="s">
        <v>1051</v>
      </c>
      <c r="D17" s="424" t="s">
        <v>1063</v>
      </c>
      <c r="E17" s="782" t="s">
        <v>27</v>
      </c>
      <c r="F17" s="537">
        <f>IF(E17='Response Guidlines'!$D$81,'Response Guidlines'!$C$81, IF(E17='Response Guidlines'!$D$82,'Response Guidlines'!$C$82,IF(E17='Response Guidlines'!$D$83,'Response Guidlines'!$C$83,IF(E17='Response Guidlines'!$D$84,'Response Guidlines'!$C$84,IF(E17='Response Guidlines'!$D$85,'Response Guidlines'!$C$85,IF(E17='Response Guidlines'!$D$86,'Response Guidlines'!$C$86,IF(E17='Response Guidlines'!$D$87,'Response Guidlines'!$C$87,"No Rating")))))))</f>
        <v>4</v>
      </c>
      <c r="G17" s="784">
        <f>(F17/$F$27)/_xlfn.XLOOKUP('Scoring Summary'!$D$31,'Response Guidlines'!$D$92:$D$191,'Response Guidlines'!$C$92:$C$191,"",0,1)</f>
        <v>0.5</v>
      </c>
      <c r="H17" s="52" t="s">
        <v>1053</v>
      </c>
      <c r="I17" s="136">
        <f>G17</f>
        <v>0.5</v>
      </c>
      <c r="J17" s="541"/>
      <c r="K17" s="789" t="s">
        <v>1064</v>
      </c>
    </row>
    <row r="18" spans="1:11" s="49" customFormat="1" ht="11.25" hidden="1" customHeight="1" x14ac:dyDescent="0.35">
      <c r="A18" s="510"/>
      <c r="B18" s="544"/>
      <c r="C18" s="412"/>
      <c r="D18" s="569"/>
      <c r="E18" s="562"/>
      <c r="F18" s="538"/>
      <c r="G18" s="785"/>
      <c r="H18" s="52"/>
      <c r="I18" s="138">
        <f>I17*0.75</f>
        <v>0.375</v>
      </c>
      <c r="J18" s="542"/>
      <c r="K18" s="790"/>
    </row>
    <row r="19" spans="1:11" s="49" customFormat="1" ht="11.25" hidden="1" customHeight="1" x14ac:dyDescent="0.35">
      <c r="A19" s="510"/>
      <c r="B19" s="544"/>
      <c r="C19" s="412"/>
      <c r="D19" s="569"/>
      <c r="E19" s="562"/>
      <c r="F19" s="538"/>
      <c r="G19" s="785"/>
      <c r="H19" s="57"/>
      <c r="I19" s="138">
        <f>I17*0.5</f>
        <v>0.25</v>
      </c>
      <c r="J19" s="542"/>
      <c r="K19" s="790"/>
    </row>
    <row r="20" spans="1:11" s="49" customFormat="1" ht="11.25" hidden="1" customHeight="1" x14ac:dyDescent="0.35">
      <c r="A20" s="510"/>
      <c r="B20" s="544"/>
      <c r="C20" s="412"/>
      <c r="D20" s="569"/>
      <c r="E20" s="562"/>
      <c r="F20" s="538"/>
      <c r="G20" s="785"/>
      <c r="H20" s="54"/>
      <c r="I20" s="138">
        <f>I17*0.25</f>
        <v>0.125</v>
      </c>
      <c r="J20" s="542"/>
      <c r="K20" s="790"/>
    </row>
    <row r="21" spans="1:11" s="49" customFormat="1" ht="110.25" customHeight="1" x14ac:dyDescent="0.35">
      <c r="A21" s="511"/>
      <c r="B21" s="545"/>
      <c r="C21" s="412"/>
      <c r="D21" s="438"/>
      <c r="E21" s="535"/>
      <c r="F21" s="783"/>
      <c r="G21" s="539"/>
      <c r="H21" s="52" t="s">
        <v>1065</v>
      </c>
      <c r="I21" s="138">
        <v>0</v>
      </c>
      <c r="J21" s="543"/>
      <c r="K21" s="791"/>
    </row>
    <row r="22" spans="1:11" s="49" customFormat="1" ht="11.25" customHeight="1" x14ac:dyDescent="0.35">
      <c r="A22" s="781" t="s">
        <v>1029</v>
      </c>
      <c r="B22" s="544" t="s">
        <v>455</v>
      </c>
      <c r="C22" s="412" t="s">
        <v>1051</v>
      </c>
      <c r="D22" s="424" t="s">
        <v>1063</v>
      </c>
      <c r="E22" s="782" t="s">
        <v>27</v>
      </c>
      <c r="F22" s="537">
        <f>IF(E22='Response Guidlines'!$D$81,'Response Guidlines'!$C$81, IF(E22='Response Guidlines'!$D$82,'Response Guidlines'!$C$82,IF(E22='Response Guidlines'!$D$83,'Response Guidlines'!$C$83,IF(E22='Response Guidlines'!$D$84,'Response Guidlines'!$C$84,IF(E22='Response Guidlines'!$D$85,'Response Guidlines'!$C$85,IF(E22='Response Guidlines'!$D$86,'Response Guidlines'!$C$86,IF(E22='Response Guidlines'!$D$87,'Response Guidlines'!$C$87,"No Rating")))))))</f>
        <v>4</v>
      </c>
      <c r="G22" s="784">
        <f>(F22/$F$27)/_xlfn.XLOOKUP('Scoring Summary'!$D$31,'Response Guidlines'!$D$92:$D$191,'Response Guidlines'!$C$92:$C$191,"",0,1)</f>
        <v>0.5</v>
      </c>
      <c r="H22" s="52" t="s">
        <v>1055</v>
      </c>
      <c r="I22" s="136">
        <f>G22</f>
        <v>0.5</v>
      </c>
      <c r="J22" s="541"/>
      <c r="K22" s="789" t="s">
        <v>1066</v>
      </c>
    </row>
    <row r="23" spans="1:11" s="49" customFormat="1" ht="10" x14ac:dyDescent="0.35">
      <c r="A23" s="510"/>
      <c r="B23" s="544"/>
      <c r="C23" s="412"/>
      <c r="D23" s="569"/>
      <c r="E23" s="562"/>
      <c r="F23" s="538"/>
      <c r="G23" s="785"/>
      <c r="H23" s="52"/>
      <c r="I23" s="138">
        <f>I22*0.75</f>
        <v>0.375</v>
      </c>
      <c r="J23" s="542"/>
      <c r="K23" s="790"/>
    </row>
    <row r="24" spans="1:11" s="49" customFormat="1" ht="10" x14ac:dyDescent="0.35">
      <c r="A24" s="510"/>
      <c r="B24" s="544"/>
      <c r="C24" s="412"/>
      <c r="D24" s="569"/>
      <c r="E24" s="562"/>
      <c r="F24" s="538"/>
      <c r="G24" s="785"/>
      <c r="H24" s="52" t="s">
        <v>1056</v>
      </c>
      <c r="I24" s="138">
        <f>I22*0.5</f>
        <v>0.25</v>
      </c>
      <c r="J24" s="542"/>
      <c r="K24" s="790"/>
    </row>
    <row r="25" spans="1:11" s="49" customFormat="1" ht="10" x14ac:dyDescent="0.35">
      <c r="A25" s="510"/>
      <c r="B25" s="544"/>
      <c r="C25" s="412"/>
      <c r="D25" s="569"/>
      <c r="E25" s="562"/>
      <c r="F25" s="538"/>
      <c r="G25" s="785"/>
      <c r="H25" s="52"/>
      <c r="I25" s="138">
        <f>I22*0.25</f>
        <v>0.125</v>
      </c>
      <c r="J25" s="542"/>
      <c r="K25" s="790"/>
    </row>
    <row r="26" spans="1:11" s="49" customFormat="1" ht="216.75" customHeight="1" thickBot="1" x14ac:dyDescent="0.4">
      <c r="A26" s="511"/>
      <c r="B26" s="545"/>
      <c r="C26" s="412"/>
      <c r="D26" s="438"/>
      <c r="E26" s="535"/>
      <c r="F26" s="783"/>
      <c r="G26" s="539"/>
      <c r="H26" s="52" t="s">
        <v>1057</v>
      </c>
      <c r="I26" s="138">
        <v>0</v>
      </c>
      <c r="J26" s="543"/>
      <c r="K26" s="791"/>
    </row>
    <row r="27" spans="1:11" s="49" customFormat="1" ht="16.149999999999999" customHeight="1" thickBot="1" x14ac:dyDescent="0.4">
      <c r="A27" s="144"/>
      <c r="B27" s="148"/>
      <c r="C27" s="82" t="s">
        <v>138</v>
      </c>
      <c r="D27" s="82"/>
      <c r="E27" s="82"/>
      <c r="F27" s="145">
        <f>SUM(F17:F26)</f>
        <v>8</v>
      </c>
      <c r="G27" s="84">
        <f>SUM(G17:G26)</f>
        <v>1</v>
      </c>
      <c r="H27" s="478" t="s">
        <v>139</v>
      </c>
      <c r="I27" s="479"/>
      <c r="J27" s="50">
        <f>SUM(J17:J26)</f>
        <v>0</v>
      </c>
      <c r="K27" s="81"/>
    </row>
  </sheetData>
  <mergeCells count="22">
    <mergeCell ref="H27:I27"/>
    <mergeCell ref="K17:K21"/>
    <mergeCell ref="A22:A26"/>
    <mergeCell ref="B22:B26"/>
    <mergeCell ref="C22:C26"/>
    <mergeCell ref="D22:D26"/>
    <mergeCell ref="E22:E26"/>
    <mergeCell ref="F22:F26"/>
    <mergeCell ref="G22:G26"/>
    <mergeCell ref="J22:J26"/>
    <mergeCell ref="K22:K26"/>
    <mergeCell ref="A17:A21"/>
    <mergeCell ref="B17:B21"/>
    <mergeCell ref="C17:C21"/>
    <mergeCell ref="D17:D21"/>
    <mergeCell ref="E17:E21"/>
    <mergeCell ref="F17:F21"/>
    <mergeCell ref="G17:G21"/>
    <mergeCell ref="J17:J21"/>
    <mergeCell ref="F2:J4"/>
    <mergeCell ref="A15:A16"/>
    <mergeCell ref="C15:D15"/>
  </mergeCells>
  <phoneticPr fontId="34" type="noConversion"/>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49E07A0-8FE2-4047-B99B-9528C0FD6D63}">
          <x14:formula1>
            <xm:f>'Response Guidlines'!$D$81:$D$87</xm:f>
          </x14:formula1>
          <xm:sqref>E17:E26</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16BFB-5958-48A4-A3AB-2FD69CF43289}">
  <sheetPr>
    <tabColor theme="7"/>
    <pageSetUpPr fitToPage="1"/>
  </sheetPr>
  <dimension ref="A1:R39"/>
  <sheetViews>
    <sheetView topLeftCell="A15" zoomScale="115" zoomScaleNormal="115" workbookViewId="0">
      <pane xSplit="1" ySplit="2" topLeftCell="C27" activePane="bottomRight" state="frozen"/>
      <selection pane="topRight" activeCell="N35" sqref="N35"/>
      <selection pane="bottomLeft" activeCell="N35" sqref="N35"/>
      <selection pane="bottomRight" activeCell="N35" sqref="N35"/>
    </sheetView>
  </sheetViews>
  <sheetFormatPr defaultColWidth="9.26953125" defaultRowHeight="10.5" x14ac:dyDescent="0.25"/>
  <cols>
    <col min="1" max="1" width="9.453125" style="19" customWidth="1"/>
    <col min="2" max="2" width="15.54296875" style="178" customWidth="1"/>
    <col min="3" max="3" width="76.26953125" style="18" customWidth="1"/>
    <col min="4" max="4" width="56.453125" style="18" customWidth="1"/>
    <col min="5" max="5" width="10.7265625" style="18" hidden="1" customWidth="1"/>
    <col min="6" max="6" width="10" style="18" hidden="1" customWidth="1"/>
    <col min="7" max="7" width="22.7265625" style="18" hidden="1" customWidth="1"/>
    <col min="8" max="8" width="22.26953125" style="18" hidden="1" customWidth="1"/>
    <col min="9" max="9" width="11.26953125" style="18" bestFit="1" customWidth="1"/>
    <col min="10" max="10" width="7.54296875" style="18" customWidth="1"/>
    <col min="11" max="11" width="7.26953125" style="17" customWidth="1"/>
    <col min="12" max="12" width="10.453125" style="16" customWidth="1"/>
    <col min="13" max="13" width="13.453125" style="15" customWidth="1"/>
    <col min="14" max="14" width="7" style="15" customWidth="1"/>
    <col min="15" max="15" width="7" style="13" customWidth="1"/>
    <col min="16" max="16" width="40.453125" style="14" customWidth="1"/>
    <col min="17" max="17" width="8.54296875" style="13" customWidth="1"/>
    <col min="18" max="18" width="21.54296875" style="13" customWidth="1"/>
    <col min="19" max="16384" width="9.26953125" style="13"/>
  </cols>
  <sheetData>
    <row r="1" spans="1:16" ht="11" hidden="1" thickBot="1" x14ac:dyDescent="0.3">
      <c r="C1" s="76"/>
      <c r="D1" s="76"/>
      <c r="E1" s="76"/>
      <c r="F1" s="76"/>
      <c r="G1" s="76"/>
      <c r="H1" s="76"/>
      <c r="I1" s="76"/>
      <c r="J1" s="76"/>
    </row>
    <row r="2" spans="1:16" ht="14.65" hidden="1" customHeight="1" x14ac:dyDescent="0.35">
      <c r="C2" s="11" t="s">
        <v>51</v>
      </c>
      <c r="D2" s="12" t="str">
        <f>'Scoring Summary'!C2</f>
        <v>&lt;insert before tender publication&gt;</v>
      </c>
      <c r="E2" s="46"/>
      <c r="F2" s="46"/>
      <c r="G2" s="390" t="s">
        <v>140</v>
      </c>
      <c r="H2" s="390"/>
      <c r="I2" s="390"/>
      <c r="J2" s="75"/>
      <c r="K2" s="75"/>
      <c r="L2" s="46"/>
      <c r="M2" s="46"/>
      <c r="N2" s="46"/>
      <c r="O2" s="46"/>
      <c r="P2" s="46"/>
    </row>
    <row r="3" spans="1:16" ht="14.65" hidden="1" customHeight="1" x14ac:dyDescent="0.35">
      <c r="C3" s="11" t="s">
        <v>54</v>
      </c>
      <c r="D3" s="12" t="str">
        <f>'Scoring Summary'!C3</f>
        <v>IT00641 Dx Commercial Energy Trader (Dx CET)</v>
      </c>
      <c r="E3" s="46"/>
      <c r="F3" s="46"/>
      <c r="G3" s="83" t="s">
        <v>141</v>
      </c>
      <c r="H3" s="146" t="s">
        <v>300</v>
      </c>
      <c r="I3" s="75"/>
      <c r="J3" s="46"/>
      <c r="K3" s="46"/>
      <c r="L3" s="46"/>
      <c r="M3" s="46"/>
      <c r="N3" s="46"/>
      <c r="O3" s="46"/>
      <c r="P3" s="46"/>
    </row>
    <row r="4" spans="1:16" ht="14.65" hidden="1" customHeight="1" x14ac:dyDescent="0.35">
      <c r="C4" s="11" t="s">
        <v>55</v>
      </c>
      <c r="D4" s="12">
        <f>'Scoring Summary'!C4</f>
        <v>0.7</v>
      </c>
      <c r="E4" s="46"/>
      <c r="F4" s="46"/>
      <c r="G4" s="75"/>
      <c r="H4" s="75"/>
      <c r="I4" s="75"/>
      <c r="J4" s="46"/>
      <c r="K4" s="46"/>
      <c r="L4" s="46"/>
      <c r="M4" s="46"/>
      <c r="N4" s="46"/>
      <c r="O4" s="46"/>
      <c r="P4" s="46"/>
    </row>
    <row r="5" spans="1:16" ht="14.65" hidden="1" customHeight="1" x14ac:dyDescent="0.35">
      <c r="C5" s="11" t="s">
        <v>84</v>
      </c>
      <c r="D5" s="10" t="str">
        <f>'Scoring Summary'!C5</f>
        <v>&lt;Evaluator to complete&gt;</v>
      </c>
      <c r="E5" s="46"/>
      <c r="F5" s="46"/>
      <c r="G5" s="75"/>
      <c r="H5" s="75"/>
      <c r="I5" s="75"/>
      <c r="J5" s="46"/>
      <c r="K5" s="46"/>
      <c r="L5" s="46"/>
      <c r="M5" s="46"/>
      <c r="N5" s="46"/>
      <c r="O5" s="46"/>
      <c r="P5" s="46"/>
    </row>
    <row r="6" spans="1:16" ht="14.65" hidden="1" customHeight="1" x14ac:dyDescent="0.35">
      <c r="C6" s="11" t="s">
        <v>58</v>
      </c>
      <c r="D6" s="10" t="str">
        <f>'Scoring Summary'!C6</f>
        <v>&lt;Evaluator to complete&gt;</v>
      </c>
      <c r="E6" s="46"/>
      <c r="F6" s="46"/>
      <c r="G6" s="46"/>
      <c r="H6" s="46"/>
      <c r="I6" s="46"/>
      <c r="J6" s="46"/>
      <c r="K6" s="46"/>
      <c r="L6" s="46"/>
      <c r="M6" s="46"/>
      <c r="N6" s="46"/>
      <c r="O6" s="46"/>
      <c r="P6" s="46"/>
    </row>
    <row r="7" spans="1:16" ht="14.65" hidden="1" customHeight="1" x14ac:dyDescent="0.35">
      <c r="C7" s="11" t="s">
        <v>59</v>
      </c>
      <c r="D7" s="10" t="str">
        <f>'Scoring Summary'!C7</f>
        <v>&lt;Evaluator to complete&gt;</v>
      </c>
      <c r="E7" s="46"/>
      <c r="F7" s="46"/>
      <c r="G7" s="46"/>
      <c r="H7" s="46"/>
      <c r="I7" s="46"/>
      <c r="J7" s="46"/>
      <c r="K7" s="46"/>
      <c r="L7" s="46"/>
      <c r="M7" s="46"/>
      <c r="N7" s="46"/>
      <c r="O7" s="46"/>
      <c r="P7" s="46"/>
    </row>
    <row r="8" spans="1:16" ht="27.65" hidden="1" customHeight="1" x14ac:dyDescent="0.35">
      <c r="C8" s="11" t="s">
        <v>60</v>
      </c>
      <c r="D8" s="10"/>
      <c r="E8" s="46"/>
      <c r="F8" s="46"/>
      <c r="G8" s="46"/>
      <c r="H8" s="46"/>
      <c r="I8" s="46"/>
      <c r="J8" s="46"/>
      <c r="K8" s="46"/>
      <c r="L8" s="46"/>
      <c r="M8" s="46"/>
      <c r="N8" s="46"/>
      <c r="O8" s="46"/>
      <c r="P8" s="46"/>
    </row>
    <row r="9" spans="1:16" ht="12" hidden="1" customHeight="1" x14ac:dyDescent="0.25"/>
    <row r="10" spans="1:16" ht="11" hidden="1" thickBot="1" x14ac:dyDescent="0.3"/>
    <row r="11" spans="1:16" ht="11" hidden="1" thickBot="1" x14ac:dyDescent="0.3">
      <c r="C11" s="30"/>
      <c r="D11" s="30"/>
      <c r="E11" s="30"/>
      <c r="F11" s="30"/>
      <c r="G11" s="30"/>
      <c r="H11" s="30"/>
      <c r="I11" s="30"/>
      <c r="J11" s="30"/>
    </row>
    <row r="12" spans="1:16" ht="11" hidden="1" thickBot="1" x14ac:dyDescent="0.3"/>
    <row r="13" spans="1:16" ht="11" hidden="1" thickBot="1" x14ac:dyDescent="0.3">
      <c r="C13" s="30"/>
      <c r="D13" s="30"/>
      <c r="E13" s="30"/>
      <c r="F13" s="30"/>
      <c r="G13" s="30"/>
      <c r="H13" s="30"/>
      <c r="I13" s="30"/>
      <c r="J13" s="30"/>
    </row>
    <row r="14" spans="1:16" ht="11" hidden="1" thickBot="1" x14ac:dyDescent="0.3">
      <c r="C14" s="30"/>
      <c r="D14" s="30"/>
      <c r="E14" s="30"/>
      <c r="F14" s="30"/>
      <c r="G14" s="30"/>
      <c r="H14" s="30"/>
      <c r="I14" s="30"/>
      <c r="J14" s="30"/>
    </row>
    <row r="15" spans="1:16" ht="14.65" customHeight="1" x14ac:dyDescent="0.2">
      <c r="A15" s="447" t="s">
        <v>85</v>
      </c>
      <c r="B15" s="527" t="s">
        <v>86</v>
      </c>
      <c r="C15" s="503"/>
      <c r="D15" s="528"/>
      <c r="E15" s="504" t="s">
        <v>87</v>
      </c>
      <c r="F15" s="505"/>
      <c r="G15" s="505"/>
      <c r="H15" s="506"/>
      <c r="I15" s="74"/>
      <c r="J15" s="74"/>
      <c r="K15" s="73" t="s">
        <v>88</v>
      </c>
      <c r="L15" s="72"/>
      <c r="M15" s="72"/>
      <c r="N15" s="72"/>
      <c r="O15" s="72"/>
      <c r="P15" s="71"/>
    </row>
    <row r="16" spans="1:16" s="49" customFormat="1" ht="58.15" customHeight="1" thickBot="1" x14ac:dyDescent="0.4">
      <c r="A16" s="501"/>
      <c r="B16" s="149" t="s">
        <v>168</v>
      </c>
      <c r="C16" s="70" t="s">
        <v>89</v>
      </c>
      <c r="D16" s="147" t="s">
        <v>62</v>
      </c>
      <c r="E16" s="589" t="s">
        <v>301</v>
      </c>
      <c r="F16" s="590"/>
      <c r="G16" s="67" t="s">
        <v>64</v>
      </c>
      <c r="H16" s="66" t="s">
        <v>218</v>
      </c>
      <c r="I16" s="150" t="s">
        <v>92</v>
      </c>
      <c r="J16" s="64" t="s">
        <v>93</v>
      </c>
      <c r="K16" s="63" t="s">
        <v>94</v>
      </c>
      <c r="L16" s="62" t="s">
        <v>302</v>
      </c>
      <c r="M16" s="594" t="s">
        <v>1067</v>
      </c>
      <c r="N16" s="595"/>
      <c r="O16" s="60" t="s">
        <v>67</v>
      </c>
      <c r="P16" s="59" t="s">
        <v>68</v>
      </c>
    </row>
    <row r="17" spans="1:18" s="49" customFormat="1" x14ac:dyDescent="0.35">
      <c r="A17" s="576" t="s">
        <v>313</v>
      </c>
      <c r="B17" s="577" t="s">
        <v>314</v>
      </c>
      <c r="C17" s="446" t="s">
        <v>315</v>
      </c>
      <c r="D17" s="426" t="s">
        <v>1068</v>
      </c>
      <c r="E17" s="167" t="str">
        <f>L17</f>
        <v>BF1</v>
      </c>
      <c r="F17" s="185" t="s">
        <v>1069</v>
      </c>
      <c r="G17" s="181"/>
      <c r="H17" s="168"/>
      <c r="I17" s="782" t="s">
        <v>27</v>
      </c>
      <c r="J17" s="537">
        <f>IF(I17='Response Guidlines'!$D$81,'Response Guidlines'!$C$81, IF(I17='Response Guidlines'!$D$82,'Response Guidlines'!$C$82,IF(I17='Response Guidlines'!$D$83,'Response Guidlines'!$C$83,IF(I17='Response Guidlines'!$D$84,'Response Guidlines'!$C$84,IF(I17='Response Guidlines'!$D$85,'Response Guidlines'!$C$85,IF(I17='Response Guidlines'!$D$86,'Response Guidlines'!$C$86,IF(I17='Response Guidlines'!$D$87,'Response Guidlines'!$C$87,"No Rating")))))))</f>
        <v>4</v>
      </c>
      <c r="K17" s="795">
        <f>IFERROR((J17/$J$39)/_xlfn.XLOOKUP('Scoring Summary'!$D$20,'Response Guidlines'!$D$92:$D$191,'Response Guidlines'!$C$92:$C$191,"",0,1),0)</f>
        <v>0.19999999999999901</v>
      </c>
      <c r="L17" s="200" t="s">
        <v>309</v>
      </c>
      <c r="M17" s="186" t="s">
        <v>38</v>
      </c>
      <c r="N17" s="184">
        <f>IF(M17="Yes", $K$17/COUNTA($L$17:$L$27), 0)</f>
        <v>1.8181818181818091E-2</v>
      </c>
      <c r="O17" s="792">
        <f>SUM(N17:N27)</f>
        <v>0.19999999999999896</v>
      </c>
      <c r="P17" s="789" t="s">
        <v>1070</v>
      </c>
      <c r="R17" s="196" t="s">
        <v>38</v>
      </c>
    </row>
    <row r="18" spans="1:18" s="49" customFormat="1" x14ac:dyDescent="0.35">
      <c r="A18" s="439"/>
      <c r="B18" s="578"/>
      <c r="C18" s="444"/>
      <c r="D18" s="427"/>
      <c r="E18" s="167" t="str">
        <f t="shared" ref="E18:E27" si="0">L18</f>
        <v>BF2</v>
      </c>
      <c r="F18" s="185" t="s">
        <v>1069</v>
      </c>
      <c r="G18" s="182"/>
      <c r="H18" s="166"/>
      <c r="I18" s="562"/>
      <c r="J18" s="538"/>
      <c r="K18" s="796"/>
      <c r="L18" s="200" t="s">
        <v>310</v>
      </c>
      <c r="M18" s="186" t="s">
        <v>38</v>
      </c>
      <c r="N18" s="184">
        <f t="shared" ref="N18:N27" si="1">IF(M18="Yes", $K$17/COUNTA($L$17:$L$27), 0)</f>
        <v>1.8181818181818091E-2</v>
      </c>
      <c r="O18" s="793"/>
      <c r="P18" s="790"/>
      <c r="R18" s="196" t="s">
        <v>39</v>
      </c>
    </row>
    <row r="19" spans="1:18" s="49" customFormat="1" x14ac:dyDescent="0.35">
      <c r="A19" s="439"/>
      <c r="B19" s="578"/>
      <c r="C19" s="444"/>
      <c r="D19" s="427"/>
      <c r="E19" s="163" t="str">
        <f t="shared" si="0"/>
        <v>BF3</v>
      </c>
      <c r="F19" s="185" t="s">
        <v>1069</v>
      </c>
      <c r="G19" s="182"/>
      <c r="H19" s="166"/>
      <c r="I19" s="562"/>
      <c r="J19" s="538"/>
      <c r="K19" s="796"/>
      <c r="L19" s="200" t="s">
        <v>311</v>
      </c>
      <c r="M19" s="186" t="s">
        <v>38</v>
      </c>
      <c r="N19" s="184">
        <f t="shared" si="1"/>
        <v>1.8181818181818091E-2</v>
      </c>
      <c r="O19" s="793"/>
      <c r="P19" s="790"/>
    </row>
    <row r="20" spans="1:18" s="49" customFormat="1" x14ac:dyDescent="0.35">
      <c r="A20" s="439"/>
      <c r="B20" s="578"/>
      <c r="C20" s="444"/>
      <c r="D20" s="427"/>
      <c r="E20" s="167" t="str">
        <f t="shared" si="0"/>
        <v>BF4</v>
      </c>
      <c r="F20" s="185" t="s">
        <v>1069</v>
      </c>
      <c r="G20" s="182"/>
      <c r="H20" s="166"/>
      <c r="I20" s="562"/>
      <c r="J20" s="538"/>
      <c r="K20" s="796"/>
      <c r="L20" s="200" t="s">
        <v>312</v>
      </c>
      <c r="M20" s="186" t="s">
        <v>38</v>
      </c>
      <c r="N20" s="184">
        <f t="shared" si="1"/>
        <v>1.8181818181818091E-2</v>
      </c>
      <c r="O20" s="793"/>
      <c r="P20" s="790"/>
    </row>
    <row r="21" spans="1:18" s="49" customFormat="1" ht="13.5" customHeight="1" x14ac:dyDescent="0.35">
      <c r="A21" s="439"/>
      <c r="B21" s="578"/>
      <c r="C21" s="444"/>
      <c r="D21" s="427"/>
      <c r="E21" s="163" t="str">
        <f t="shared" si="0"/>
        <v>BF5</v>
      </c>
      <c r="F21" s="185" t="s">
        <v>1069</v>
      </c>
      <c r="G21" s="182"/>
      <c r="H21" s="166"/>
      <c r="I21" s="562"/>
      <c r="J21" s="538"/>
      <c r="K21" s="796"/>
      <c r="L21" s="200" t="s">
        <v>317</v>
      </c>
      <c r="M21" s="186" t="s">
        <v>38</v>
      </c>
      <c r="N21" s="184">
        <f t="shared" si="1"/>
        <v>1.8181818181818091E-2</v>
      </c>
      <c r="O21" s="793"/>
      <c r="P21" s="790"/>
    </row>
    <row r="22" spans="1:18" s="49" customFormat="1" x14ac:dyDescent="0.35">
      <c r="A22" s="439"/>
      <c r="B22" s="578"/>
      <c r="C22" s="444"/>
      <c r="D22" s="427"/>
      <c r="E22" s="163" t="str">
        <f t="shared" si="0"/>
        <v>BF6</v>
      </c>
      <c r="F22" s="185" t="s">
        <v>1069</v>
      </c>
      <c r="G22" s="182"/>
      <c r="H22" s="166"/>
      <c r="I22" s="562"/>
      <c r="J22" s="538"/>
      <c r="K22" s="796"/>
      <c r="L22" s="200" t="s">
        <v>318</v>
      </c>
      <c r="M22" s="186" t="s">
        <v>38</v>
      </c>
      <c r="N22" s="184">
        <f t="shared" si="1"/>
        <v>1.8181818181818091E-2</v>
      </c>
      <c r="O22" s="793"/>
      <c r="P22" s="790"/>
    </row>
    <row r="23" spans="1:18" s="49" customFormat="1" x14ac:dyDescent="0.35">
      <c r="A23" s="439"/>
      <c r="B23" s="578"/>
      <c r="C23" s="444"/>
      <c r="D23" s="427"/>
      <c r="E23" s="163" t="str">
        <f t="shared" si="0"/>
        <v>BF7</v>
      </c>
      <c r="F23" s="185" t="s">
        <v>1069</v>
      </c>
      <c r="G23" s="182"/>
      <c r="H23" s="166"/>
      <c r="I23" s="562"/>
      <c r="J23" s="538"/>
      <c r="K23" s="796"/>
      <c r="L23" s="200" t="s">
        <v>319</v>
      </c>
      <c r="M23" s="186" t="s">
        <v>38</v>
      </c>
      <c r="N23" s="184">
        <f t="shared" si="1"/>
        <v>1.8181818181818091E-2</v>
      </c>
      <c r="O23" s="793"/>
      <c r="P23" s="790"/>
    </row>
    <row r="24" spans="1:18" s="49" customFormat="1" ht="10" x14ac:dyDescent="0.35">
      <c r="A24" s="439"/>
      <c r="B24" s="578"/>
      <c r="C24" s="444"/>
      <c r="D24" s="427"/>
      <c r="E24" s="163" t="str">
        <f t="shared" si="0"/>
        <v>AF1</v>
      </c>
      <c r="F24" s="185" t="s">
        <v>1069</v>
      </c>
      <c r="G24" s="182"/>
      <c r="H24" s="166"/>
      <c r="I24" s="562"/>
      <c r="J24" s="538"/>
      <c r="K24" s="796"/>
      <c r="L24" s="52" t="s">
        <v>320</v>
      </c>
      <c r="M24" s="186" t="s">
        <v>38</v>
      </c>
      <c r="N24" s="184">
        <f t="shared" si="1"/>
        <v>1.8181818181818091E-2</v>
      </c>
      <c r="O24" s="793"/>
      <c r="P24" s="790"/>
    </row>
    <row r="25" spans="1:18" s="49" customFormat="1" ht="10" x14ac:dyDescent="0.35">
      <c r="A25" s="439"/>
      <c r="B25" s="578"/>
      <c r="C25" s="444"/>
      <c r="D25" s="427"/>
      <c r="E25" s="163" t="str">
        <f t="shared" si="0"/>
        <v>AF2</v>
      </c>
      <c r="F25" s="185" t="s">
        <v>1069</v>
      </c>
      <c r="G25" s="182"/>
      <c r="H25" s="166"/>
      <c r="I25" s="562"/>
      <c r="J25" s="538"/>
      <c r="K25" s="796"/>
      <c r="L25" s="52" t="s">
        <v>321</v>
      </c>
      <c r="M25" s="186" t="s">
        <v>38</v>
      </c>
      <c r="N25" s="184">
        <f t="shared" si="1"/>
        <v>1.8181818181818091E-2</v>
      </c>
      <c r="O25" s="793"/>
      <c r="P25" s="790"/>
    </row>
    <row r="26" spans="1:18" s="49" customFormat="1" ht="10" x14ac:dyDescent="0.35">
      <c r="A26" s="439"/>
      <c r="B26" s="578"/>
      <c r="C26" s="444"/>
      <c r="D26" s="427"/>
      <c r="E26" s="163" t="str">
        <f t="shared" si="0"/>
        <v>EF1</v>
      </c>
      <c r="F26" s="185" t="s">
        <v>1069</v>
      </c>
      <c r="G26" s="182"/>
      <c r="H26" s="166"/>
      <c r="I26" s="562"/>
      <c r="J26" s="538"/>
      <c r="K26" s="796"/>
      <c r="L26" s="52" t="s">
        <v>322</v>
      </c>
      <c r="M26" s="186" t="s">
        <v>38</v>
      </c>
      <c r="N26" s="184">
        <f t="shared" si="1"/>
        <v>1.8181818181818091E-2</v>
      </c>
      <c r="O26" s="793"/>
      <c r="P26" s="790"/>
    </row>
    <row r="27" spans="1:18" s="49" customFormat="1" ht="246" customHeight="1" x14ac:dyDescent="0.35">
      <c r="A27" s="440"/>
      <c r="B27" s="579"/>
      <c r="C27" s="445"/>
      <c r="D27" s="428"/>
      <c r="E27" s="167" t="str">
        <f t="shared" si="0"/>
        <v>RR2.1</v>
      </c>
      <c r="F27" s="185" t="s">
        <v>1069</v>
      </c>
      <c r="G27" s="183"/>
      <c r="H27" s="165"/>
      <c r="I27" s="535"/>
      <c r="J27" s="783"/>
      <c r="K27" s="797"/>
      <c r="L27" s="52" t="s">
        <v>1071</v>
      </c>
      <c r="M27" s="186" t="s">
        <v>38</v>
      </c>
      <c r="N27" s="184">
        <f t="shared" si="1"/>
        <v>1.8181818181818091E-2</v>
      </c>
      <c r="O27" s="794"/>
      <c r="P27" s="791"/>
    </row>
    <row r="28" spans="1:18" s="49" customFormat="1" ht="11.25" customHeight="1" x14ac:dyDescent="0.35">
      <c r="A28" s="576" t="s">
        <v>313</v>
      </c>
      <c r="B28" s="577" t="s">
        <v>314</v>
      </c>
      <c r="C28" s="446" t="s">
        <v>315</v>
      </c>
      <c r="D28" s="426" t="s">
        <v>1068</v>
      </c>
      <c r="E28" s="167" t="str">
        <f>L28</f>
        <v>BF1</v>
      </c>
      <c r="F28" s="185" t="s">
        <v>1069</v>
      </c>
      <c r="G28" s="181"/>
      <c r="H28" s="168"/>
      <c r="I28" s="782" t="s">
        <v>27</v>
      </c>
      <c r="J28" s="537">
        <f>IF(I28='Response Guidlines'!$D$81,'Response Guidlines'!$C$81, IF(I28='Response Guidlines'!$D$82,'Response Guidlines'!$C$82,IF(I28='Response Guidlines'!$D$83,'Response Guidlines'!$C$83,IF(I28='Response Guidlines'!$D$84,'Response Guidlines'!$C$84,IF(I28='Response Guidlines'!$D$85,'Response Guidlines'!$C$85,IF(I28='Response Guidlines'!$D$86,'Response Guidlines'!$C$86,IF(I28='Response Guidlines'!$D$87,'Response Guidlines'!$C$87,"No Rating")))))))</f>
        <v>4</v>
      </c>
      <c r="K28" s="795">
        <f>IFERROR((J28/$J$39)/_xlfn.XLOOKUP('Scoring Summary'!$D$20,'Response Guidlines'!$D$92:$D$191,'Response Guidlines'!$C$92:$C$191,"",0,1),0)</f>
        <v>0.19999999999999901</v>
      </c>
      <c r="L28" s="52" t="s">
        <v>309</v>
      </c>
      <c r="M28" s="186" t="s">
        <v>38</v>
      </c>
      <c r="N28" s="184">
        <f>IF(M28="Yes", 0.8*$K$28/COUNTA($L$28:$L$34), 0)</f>
        <v>2.2857142857142746E-2</v>
      </c>
      <c r="O28" s="792">
        <f>SUM(N28:N38)</f>
        <v>0.19999999999999904</v>
      </c>
      <c r="P28" s="789" t="s">
        <v>1072</v>
      </c>
    </row>
    <row r="29" spans="1:18" s="49" customFormat="1" ht="10" x14ac:dyDescent="0.35">
      <c r="A29" s="439"/>
      <c r="B29" s="578"/>
      <c r="C29" s="444"/>
      <c r="D29" s="427"/>
      <c r="E29" s="167" t="str">
        <f t="shared" ref="E29:E38" si="2">L29</f>
        <v>BF2</v>
      </c>
      <c r="F29" s="185" t="s">
        <v>1069</v>
      </c>
      <c r="G29" s="182"/>
      <c r="H29" s="166"/>
      <c r="I29" s="562"/>
      <c r="J29" s="538"/>
      <c r="K29" s="796"/>
      <c r="L29" s="52" t="s">
        <v>310</v>
      </c>
      <c r="M29" s="186" t="s">
        <v>38</v>
      </c>
      <c r="N29" s="184">
        <f t="shared" ref="N29:N34" si="3">IF(M29="Yes", 0.8*$K$28/COUNTA($L$28:$L$34), 0)</f>
        <v>2.2857142857142746E-2</v>
      </c>
      <c r="O29" s="793"/>
      <c r="P29" s="790"/>
      <c r="R29" s="197">
        <v>0.7</v>
      </c>
    </row>
    <row r="30" spans="1:18" s="49" customFormat="1" ht="10" x14ac:dyDescent="0.35">
      <c r="A30" s="439"/>
      <c r="B30" s="578"/>
      <c r="C30" s="444"/>
      <c r="D30" s="427"/>
      <c r="E30" s="163" t="str">
        <f t="shared" si="2"/>
        <v>BF3</v>
      </c>
      <c r="F30" s="185" t="s">
        <v>1069</v>
      </c>
      <c r="G30" s="182"/>
      <c r="H30" s="166"/>
      <c r="I30" s="562"/>
      <c r="J30" s="538"/>
      <c r="K30" s="796"/>
      <c r="L30" s="52" t="s">
        <v>311</v>
      </c>
      <c r="M30" s="186" t="s">
        <v>38</v>
      </c>
      <c r="N30" s="184">
        <f t="shared" si="3"/>
        <v>2.2857142857142746E-2</v>
      </c>
      <c r="O30" s="793"/>
      <c r="P30" s="790"/>
      <c r="R30" s="197">
        <v>0.3</v>
      </c>
    </row>
    <row r="31" spans="1:18" s="49" customFormat="1" ht="10" x14ac:dyDescent="0.35">
      <c r="A31" s="439"/>
      <c r="B31" s="578"/>
      <c r="C31" s="444"/>
      <c r="D31" s="427"/>
      <c r="E31" s="167" t="str">
        <f t="shared" si="2"/>
        <v>BF4</v>
      </c>
      <c r="F31" s="185" t="s">
        <v>1069</v>
      </c>
      <c r="G31" s="182"/>
      <c r="H31" s="166"/>
      <c r="I31" s="562"/>
      <c r="J31" s="538"/>
      <c r="K31" s="796"/>
      <c r="L31" s="52" t="s">
        <v>312</v>
      </c>
      <c r="M31" s="186" t="s">
        <v>38</v>
      </c>
      <c r="N31" s="184">
        <f t="shared" si="3"/>
        <v>2.2857142857142746E-2</v>
      </c>
      <c r="O31" s="793"/>
      <c r="P31" s="790"/>
    </row>
    <row r="32" spans="1:18" s="49" customFormat="1" ht="13.5" customHeight="1" x14ac:dyDescent="0.35">
      <c r="A32" s="439"/>
      <c r="B32" s="578"/>
      <c r="C32" s="444"/>
      <c r="D32" s="427"/>
      <c r="E32" s="163" t="str">
        <f t="shared" si="2"/>
        <v>BF5</v>
      </c>
      <c r="F32" s="185" t="s">
        <v>1069</v>
      </c>
      <c r="G32" s="182"/>
      <c r="H32" s="166"/>
      <c r="I32" s="562"/>
      <c r="J32" s="538"/>
      <c r="K32" s="796"/>
      <c r="L32" s="52" t="s">
        <v>317</v>
      </c>
      <c r="M32" s="186" t="s">
        <v>38</v>
      </c>
      <c r="N32" s="184">
        <f t="shared" si="3"/>
        <v>2.2857142857142746E-2</v>
      </c>
      <c r="O32" s="793"/>
      <c r="P32" s="790"/>
    </row>
    <row r="33" spans="1:16" s="49" customFormat="1" ht="10" x14ac:dyDescent="0.35">
      <c r="A33" s="439"/>
      <c r="B33" s="578"/>
      <c r="C33" s="444"/>
      <c r="D33" s="427"/>
      <c r="E33" s="163" t="str">
        <f t="shared" si="2"/>
        <v>BF6</v>
      </c>
      <c r="F33" s="185" t="s">
        <v>1069</v>
      </c>
      <c r="G33" s="182"/>
      <c r="H33" s="166"/>
      <c r="I33" s="562"/>
      <c r="J33" s="538"/>
      <c r="K33" s="796"/>
      <c r="L33" s="52" t="s">
        <v>318</v>
      </c>
      <c r="M33" s="186" t="s">
        <v>38</v>
      </c>
      <c r="N33" s="184">
        <f t="shared" si="3"/>
        <v>2.2857142857142746E-2</v>
      </c>
      <c r="O33" s="793"/>
      <c r="P33" s="790"/>
    </row>
    <row r="34" spans="1:16" s="49" customFormat="1" ht="10" x14ac:dyDescent="0.35">
      <c r="A34" s="439"/>
      <c r="B34" s="578"/>
      <c r="C34" s="444"/>
      <c r="D34" s="427"/>
      <c r="E34" s="163" t="str">
        <f t="shared" si="2"/>
        <v>BF7</v>
      </c>
      <c r="F34" s="185" t="s">
        <v>1069</v>
      </c>
      <c r="G34" s="182"/>
      <c r="H34" s="166"/>
      <c r="I34" s="562"/>
      <c r="J34" s="538"/>
      <c r="K34" s="796"/>
      <c r="L34" s="52" t="s">
        <v>319</v>
      </c>
      <c r="M34" s="186" t="s">
        <v>38</v>
      </c>
      <c r="N34" s="184">
        <f t="shared" si="3"/>
        <v>2.2857142857142746E-2</v>
      </c>
      <c r="O34" s="793"/>
      <c r="P34" s="790"/>
    </row>
    <row r="35" spans="1:16" s="49" customFormat="1" ht="10" x14ac:dyDescent="0.35">
      <c r="A35" s="439"/>
      <c r="B35" s="578"/>
      <c r="C35" s="444"/>
      <c r="D35" s="427"/>
      <c r="E35" s="163" t="str">
        <f t="shared" si="2"/>
        <v>AF1</v>
      </c>
      <c r="F35" s="185" t="s">
        <v>1069</v>
      </c>
      <c r="G35" s="182"/>
      <c r="H35" s="166"/>
      <c r="I35" s="562"/>
      <c r="J35" s="538"/>
      <c r="K35" s="796"/>
      <c r="L35" s="52" t="s">
        <v>320</v>
      </c>
      <c r="M35" s="186" t="s">
        <v>38</v>
      </c>
      <c r="N35" s="184">
        <f>IF(M35="Yes", 0.2*$K$28/COUNTA($L$35:$L$38), 0)</f>
        <v>9.9999999999999516E-3</v>
      </c>
      <c r="O35" s="793"/>
      <c r="P35" s="790"/>
    </row>
    <row r="36" spans="1:16" s="49" customFormat="1" ht="10" x14ac:dyDescent="0.35">
      <c r="A36" s="439"/>
      <c r="B36" s="578"/>
      <c r="C36" s="444"/>
      <c r="D36" s="427"/>
      <c r="E36" s="163" t="str">
        <f t="shared" si="2"/>
        <v>AF2</v>
      </c>
      <c r="F36" s="185" t="s">
        <v>1069</v>
      </c>
      <c r="G36" s="182"/>
      <c r="H36" s="166"/>
      <c r="I36" s="562"/>
      <c r="J36" s="538"/>
      <c r="K36" s="796"/>
      <c r="L36" s="52" t="s">
        <v>321</v>
      </c>
      <c r="M36" s="186" t="s">
        <v>38</v>
      </c>
      <c r="N36" s="184">
        <f t="shared" ref="N36:N38" si="4">IF(M36="Yes", 0.2*$K$28/COUNTA($L$35:$L$38), 0)</f>
        <v>9.9999999999999516E-3</v>
      </c>
      <c r="O36" s="793"/>
      <c r="P36" s="790"/>
    </row>
    <row r="37" spans="1:16" s="49" customFormat="1" ht="10" x14ac:dyDescent="0.35">
      <c r="A37" s="439"/>
      <c r="B37" s="578"/>
      <c r="C37" s="444"/>
      <c r="D37" s="427"/>
      <c r="E37" s="163" t="str">
        <f t="shared" si="2"/>
        <v>EF1</v>
      </c>
      <c r="F37" s="185" t="s">
        <v>1069</v>
      </c>
      <c r="G37" s="182"/>
      <c r="H37" s="166"/>
      <c r="I37" s="562"/>
      <c r="J37" s="538"/>
      <c r="K37" s="796"/>
      <c r="L37" s="52" t="s">
        <v>322</v>
      </c>
      <c r="M37" s="186" t="s">
        <v>38</v>
      </c>
      <c r="N37" s="184">
        <f t="shared" si="4"/>
        <v>9.9999999999999516E-3</v>
      </c>
      <c r="O37" s="793"/>
      <c r="P37" s="790"/>
    </row>
    <row r="38" spans="1:16" s="49" customFormat="1" ht="246" customHeight="1" thickBot="1" x14ac:dyDescent="0.4">
      <c r="A38" s="440"/>
      <c r="B38" s="579"/>
      <c r="C38" s="445"/>
      <c r="D38" s="428"/>
      <c r="E38" s="167" t="str">
        <f t="shared" si="2"/>
        <v>RR2.1</v>
      </c>
      <c r="F38" s="185" t="s">
        <v>1069</v>
      </c>
      <c r="G38" s="183"/>
      <c r="H38" s="165"/>
      <c r="I38" s="535"/>
      <c r="J38" s="783"/>
      <c r="K38" s="797"/>
      <c r="L38" s="52" t="s">
        <v>1071</v>
      </c>
      <c r="M38" s="186" t="s">
        <v>38</v>
      </c>
      <c r="N38" s="184">
        <f t="shared" si="4"/>
        <v>9.9999999999999516E-3</v>
      </c>
      <c r="O38" s="794"/>
      <c r="P38" s="791"/>
    </row>
    <row r="39" spans="1:16" s="49" customFormat="1" ht="16.149999999999999" customHeight="1" thickBot="1" x14ac:dyDescent="0.4">
      <c r="A39" s="144"/>
      <c r="B39" s="179"/>
      <c r="C39" s="82" t="s">
        <v>138</v>
      </c>
      <c r="D39" s="82"/>
      <c r="E39" s="82"/>
      <c r="F39" s="82"/>
      <c r="G39" s="82"/>
      <c r="H39" s="82"/>
      <c r="I39" s="82"/>
      <c r="J39" s="145">
        <f>SUM(J17:J27)</f>
        <v>4</v>
      </c>
      <c r="K39" s="84">
        <f>IFERROR(SUM(K17:K27),0)</f>
        <v>0.19999999999999901</v>
      </c>
      <c r="L39" s="478" t="s">
        <v>139</v>
      </c>
      <c r="M39" s="479"/>
      <c r="N39" s="164"/>
      <c r="O39" s="50">
        <f>SUM(O17:O27)</f>
        <v>0.19999999999999896</v>
      </c>
      <c r="P39" s="81"/>
    </row>
  </sheetData>
  <mergeCells count="25">
    <mergeCell ref="O28:O38"/>
    <mergeCell ref="P28:P38"/>
    <mergeCell ref="L39:M39"/>
    <mergeCell ref="A28:A38"/>
    <mergeCell ref="B28:B38"/>
    <mergeCell ref="C28:C38"/>
    <mergeCell ref="D28:D38"/>
    <mergeCell ref="I28:I38"/>
    <mergeCell ref="J28:J38"/>
    <mergeCell ref="K28:K38"/>
    <mergeCell ref="O17:O27"/>
    <mergeCell ref="P17:P27"/>
    <mergeCell ref="A17:A27"/>
    <mergeCell ref="B17:B27"/>
    <mergeCell ref="C17:C27"/>
    <mergeCell ref="D17:D27"/>
    <mergeCell ref="I17:I27"/>
    <mergeCell ref="J17:J27"/>
    <mergeCell ref="K17:K27"/>
    <mergeCell ref="M16:N16"/>
    <mergeCell ref="G2:I2"/>
    <mergeCell ref="A15:A16"/>
    <mergeCell ref="B15:D15"/>
    <mergeCell ref="E15:H15"/>
    <mergeCell ref="E16:F16"/>
  </mergeCells>
  <dataValidations count="1">
    <dataValidation type="list" allowBlank="1" showInputMessage="1" showErrorMessage="1" sqref="M17:M38" xr:uid="{4EB27D1F-F3AD-40BE-8100-FFA158F3D8D1}">
      <formula1>$R$17:$R$18</formula1>
    </dataValidation>
  </dataValidation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9566308B-5B3E-4165-A566-98BEF4737CFB}">
          <x14:formula1>
            <xm:f>'Response Guidlines'!$D$81:$D$87</xm:f>
          </x14:formula1>
          <xm:sqref>I17 I28</xm:sqref>
        </x14:dataValidation>
        <x14:dataValidation type="list" allowBlank="1" showInputMessage="1" showErrorMessage="1" xr:uid="{4D16FCFB-AB79-4BF6-8FA1-33B759644565}">
          <x14:formula1>
            <xm:f>'Response Guidlines'!$C$195:$C$197</xm:f>
          </x14:formula1>
          <xm:sqref>F17:F38</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E1EA4-9C96-424D-856E-9334AB5A324F}">
  <sheetPr>
    <tabColor rgb="FFC97A00"/>
    <pageSetUpPr fitToPage="1"/>
  </sheetPr>
  <dimension ref="A1:N71"/>
  <sheetViews>
    <sheetView zoomScaleNormal="100" workbookViewId="0">
      <selection activeCell="D12" sqref="D12:D13"/>
    </sheetView>
  </sheetViews>
  <sheetFormatPr defaultColWidth="9.26953125" defaultRowHeight="10.5" x14ac:dyDescent="0.25"/>
  <cols>
    <col min="1" max="1" width="11.54296875" style="19" customWidth="1"/>
    <col min="2" max="2" width="11.26953125" style="178" customWidth="1"/>
    <col min="3" max="3" width="59.26953125" style="18" customWidth="1"/>
    <col min="4" max="4" width="47.453125" style="18" customWidth="1"/>
    <col min="5" max="5" width="11.26953125" style="18" bestFit="1" customWidth="1"/>
    <col min="6" max="6" width="7.54296875" style="18" customWidth="1"/>
    <col min="7" max="7" width="7.26953125" style="17" customWidth="1"/>
    <col min="8" max="8" width="12.453125" style="16" customWidth="1"/>
    <col min="9" max="9" width="13.453125" style="15" customWidth="1"/>
    <col min="10" max="10" width="7" style="15" customWidth="1"/>
    <col min="11" max="11" width="7" style="13" customWidth="1"/>
    <col min="12" max="12" width="40.453125" style="14" customWidth="1"/>
    <col min="13" max="13" width="7.26953125" style="13" customWidth="1"/>
    <col min="14" max="14" width="0.453125" style="13" hidden="1" customWidth="1"/>
    <col min="15" max="16384" width="9.26953125" style="13"/>
  </cols>
  <sheetData>
    <row r="1" spans="1:14" x14ac:dyDescent="0.25">
      <c r="C1" s="76"/>
      <c r="D1" s="76"/>
      <c r="E1" s="76"/>
      <c r="F1" s="76"/>
    </row>
    <row r="2" spans="1:14" ht="15.5" x14ac:dyDescent="0.35">
      <c r="C2" s="11" t="s">
        <v>51</v>
      </c>
      <c r="D2" s="12" t="str">
        <f>'Scoring Summary'!C2</f>
        <v>&lt;insert before tender publication&gt;</v>
      </c>
      <c r="E2" s="100"/>
      <c r="F2" s="390" t="s">
        <v>955</v>
      </c>
      <c r="G2" s="390"/>
      <c r="H2" s="390"/>
      <c r="I2" s="390"/>
      <c r="J2" s="390"/>
      <c r="K2" s="46"/>
      <c r="L2" s="46"/>
    </row>
    <row r="3" spans="1:14" ht="15.5" x14ac:dyDescent="0.35">
      <c r="C3" s="11" t="s">
        <v>54</v>
      </c>
      <c r="D3" s="116" t="str">
        <f>'Scoring Summary'!C3</f>
        <v>IT00641 Dx Commercial Energy Trader (Dx CET)</v>
      </c>
      <c r="E3" s="75"/>
      <c r="F3" s="390"/>
      <c r="G3" s="390"/>
      <c r="H3" s="390"/>
      <c r="I3" s="390"/>
      <c r="J3" s="390"/>
      <c r="K3" s="46"/>
      <c r="L3" s="46"/>
    </row>
    <row r="4" spans="1:14" ht="15.5" x14ac:dyDescent="0.35">
      <c r="C4" s="11" t="s">
        <v>55</v>
      </c>
      <c r="D4" s="347">
        <f>'Scoring Summary'!E31</f>
        <v>0.6</v>
      </c>
      <c r="E4" s="75"/>
      <c r="F4" s="390"/>
      <c r="G4" s="390"/>
      <c r="H4" s="390"/>
      <c r="I4" s="390"/>
      <c r="J4" s="390"/>
      <c r="K4" s="46"/>
      <c r="L4" s="46"/>
    </row>
    <row r="5" spans="1:14" ht="15.5" x14ac:dyDescent="0.35">
      <c r="C5" s="11" t="s">
        <v>84</v>
      </c>
      <c r="D5" s="10" t="str">
        <f>'Scoring Summary'!C5</f>
        <v>&lt;Evaluator to complete&gt;</v>
      </c>
      <c r="E5" s="75"/>
      <c r="F5" s="46"/>
      <c r="G5" s="46"/>
      <c r="H5" s="46"/>
      <c r="I5" s="46"/>
      <c r="J5" s="46"/>
      <c r="K5" s="46"/>
      <c r="L5" s="46"/>
    </row>
    <row r="6" spans="1:14" ht="15.5" x14ac:dyDescent="0.35">
      <c r="C6" s="11" t="s">
        <v>58</v>
      </c>
      <c r="D6" s="10" t="str">
        <f>'Scoring Summary'!C6</f>
        <v>&lt;Evaluator to complete&gt;</v>
      </c>
      <c r="E6" s="46"/>
      <c r="F6" s="46"/>
      <c r="G6" s="46"/>
      <c r="H6" s="46"/>
      <c r="I6" s="46"/>
      <c r="J6" s="46"/>
      <c r="K6" s="46"/>
      <c r="L6" s="46"/>
    </row>
    <row r="7" spans="1:14" ht="23.25" customHeight="1" x14ac:dyDescent="0.35">
      <c r="C7" s="11" t="s">
        <v>59</v>
      </c>
      <c r="D7" s="10" t="str">
        <f>'Scoring Summary'!C7</f>
        <v>&lt;Evaluator to complete&gt;</v>
      </c>
      <c r="E7" s="46"/>
      <c r="F7" s="46"/>
      <c r="G7" s="46"/>
      <c r="H7" s="46"/>
    </row>
    <row r="8" spans="1:14" ht="15.5" x14ac:dyDescent="0.35">
      <c r="C8" s="11" t="s">
        <v>60</v>
      </c>
      <c r="D8" s="10"/>
      <c r="E8" s="46"/>
      <c r="F8" s="46"/>
      <c r="G8" s="46"/>
      <c r="H8" s="46"/>
      <c r="I8" s="46"/>
      <c r="J8" s="46"/>
      <c r="K8" s="46"/>
      <c r="L8" s="46"/>
    </row>
    <row r="9" spans="1:14" ht="13.5" customHeight="1" thickBot="1" x14ac:dyDescent="0.25">
      <c r="C9" s="30"/>
      <c r="D9" s="30"/>
      <c r="E9" s="30"/>
      <c r="F9" s="30"/>
      <c r="G9" s="30"/>
      <c r="H9" s="466" t="s">
        <v>1274</v>
      </c>
      <c r="I9" s="467"/>
      <c r="J9" s="467"/>
      <c r="K9" s="467"/>
      <c r="L9" s="468"/>
    </row>
    <row r="10" spans="1:14" ht="15" customHeight="1" x14ac:dyDescent="0.2">
      <c r="A10" s="447" t="s">
        <v>85</v>
      </c>
      <c r="B10" s="527" t="s">
        <v>86</v>
      </c>
      <c r="C10" s="503"/>
      <c r="D10" s="503"/>
      <c r="E10" s="775"/>
      <c r="F10" s="776"/>
      <c r="G10" s="473" t="s">
        <v>88</v>
      </c>
      <c r="H10" s="474"/>
      <c r="I10" s="474"/>
      <c r="J10" s="474"/>
      <c r="K10" s="474"/>
      <c r="L10" s="475"/>
    </row>
    <row r="11" spans="1:14" s="49" customFormat="1" ht="58.15" customHeight="1" thickBot="1" x14ac:dyDescent="0.4">
      <c r="A11" s="501"/>
      <c r="B11" s="149" t="s">
        <v>168</v>
      </c>
      <c r="C11" s="70" t="s">
        <v>89</v>
      </c>
      <c r="D11" s="372" t="s">
        <v>957</v>
      </c>
      <c r="E11" s="150" t="s">
        <v>92</v>
      </c>
      <c r="F11" s="64" t="s">
        <v>93</v>
      </c>
      <c r="G11" s="63" t="s">
        <v>94</v>
      </c>
      <c r="H11" s="62" t="s">
        <v>302</v>
      </c>
      <c r="I11" s="798" t="s">
        <v>1026</v>
      </c>
      <c r="J11" s="798"/>
      <c r="K11" s="60" t="s">
        <v>67</v>
      </c>
      <c r="L11" s="59" t="s">
        <v>68</v>
      </c>
    </row>
    <row r="12" spans="1:14" s="49" customFormat="1" ht="11.25" customHeight="1" x14ac:dyDescent="0.35">
      <c r="A12" s="576" t="s">
        <v>1027</v>
      </c>
      <c r="B12" s="578" t="s">
        <v>449</v>
      </c>
      <c r="C12" s="412" t="s">
        <v>1266</v>
      </c>
      <c r="D12" s="427" t="s">
        <v>1267</v>
      </c>
      <c r="E12" s="481" t="s">
        <v>27</v>
      </c>
      <c r="F12" s="433">
        <f>IF(E12='Response Guidlines'!$D$81,'Response Guidlines'!$C$81, IF(E12='Response Guidlines'!$D$82,'Response Guidlines'!$C$82,IF(E12='Response Guidlines'!$D$83,'Response Guidlines'!$C$83,IF(E12='Response Guidlines'!$D$84,'Response Guidlines'!$C$84,IF(E12='Response Guidlines'!$D$85,'Response Guidlines'!$C$85,IF(E12='Response Guidlines'!$D$86,'Response Guidlines'!$C$86,IF(E12='Response Guidlines'!$D$87,'Response Guidlines'!$C$87,"No Rating")))))))</f>
        <v>4</v>
      </c>
      <c r="G12" s="571">
        <f>IFERROR((F12/$F$50)/_xlfn.XLOOKUP('Scoring Summary'!$D$31,'Response Guidlines'!$D$92:$D$191,'Response Guidlines'!$C$92:$C$191,"",0,1),0)</f>
        <v>0.1111111111111111</v>
      </c>
      <c r="H12" s="56" t="s">
        <v>310</v>
      </c>
      <c r="I12" s="373" t="s">
        <v>39</v>
      </c>
      <c r="J12" s="269">
        <f>IF(I12="Yes", $G$12/COUNTA($H$12:$H$13), 0)</f>
        <v>0</v>
      </c>
      <c r="K12" s="574">
        <f>SUM(J12:J13)</f>
        <v>0</v>
      </c>
      <c r="L12" s="427"/>
      <c r="N12" s="196"/>
    </row>
    <row r="13" spans="1:14" s="49" customFormat="1" ht="167.25" customHeight="1" x14ac:dyDescent="0.35">
      <c r="A13" s="439"/>
      <c r="B13" s="578"/>
      <c r="C13" s="412"/>
      <c r="D13" s="427"/>
      <c r="E13" s="481"/>
      <c r="F13" s="433"/>
      <c r="G13" s="571"/>
      <c r="H13" s="52" t="s">
        <v>311</v>
      </c>
      <c r="I13" s="186" t="s">
        <v>39</v>
      </c>
      <c r="J13" s="184">
        <f>IF(I13="Yes", $G$12/COUNTA($H$12:$H$13), 0)</f>
        <v>0</v>
      </c>
      <c r="K13" s="574"/>
      <c r="L13" s="427"/>
      <c r="N13" s="196"/>
    </row>
    <row r="14" spans="1:14" s="49" customFormat="1" ht="10" x14ac:dyDescent="0.35">
      <c r="A14" s="576" t="s">
        <v>1029</v>
      </c>
      <c r="B14" s="577" t="s">
        <v>314</v>
      </c>
      <c r="C14" s="446" t="s">
        <v>315</v>
      </c>
      <c r="D14" s="426" t="s">
        <v>1268</v>
      </c>
      <c r="E14" s="480" t="s">
        <v>27</v>
      </c>
      <c r="F14" s="432">
        <f>IF(E14='Response Guidlines'!$D$81,'Response Guidlines'!$C$81, IF(E14='Response Guidlines'!$D$82,'Response Guidlines'!$C$82,IF(E14='Response Guidlines'!$D$83,'Response Guidlines'!$C$83,IF(E14='Response Guidlines'!$D$84,'Response Guidlines'!$C$84,IF(E14='Response Guidlines'!$D$85,'Response Guidlines'!$C$85,IF(E14='Response Guidlines'!$D$86,'Response Guidlines'!$C$86,IF(E14='Response Guidlines'!$D$87,'Response Guidlines'!$C$87,"No Rating")))))))</f>
        <v>4</v>
      </c>
      <c r="G14" s="570">
        <f>IFERROR((F14/$F$50)/_xlfn.XLOOKUP('Scoring Summary'!$D$31,'Response Guidlines'!$D$92:$D$191,'Response Guidlines'!$C$92:$C$191,"",0,1),0)</f>
        <v>0.1111111111111111</v>
      </c>
      <c r="H14" s="52" t="s">
        <v>309</v>
      </c>
      <c r="I14" s="186" t="s">
        <v>39</v>
      </c>
      <c r="J14" s="184">
        <f>IF(I14="Yes", (7*2)/((7*2)+3)*$G$14/COUNTA($H$14:$H$20), 0)</f>
        <v>0</v>
      </c>
      <c r="K14" s="573">
        <f>SUM(J14:J20)</f>
        <v>0</v>
      </c>
      <c r="L14" s="532"/>
      <c r="N14" s="196">
        <f>'Response Guidlines'!$C$204*$G$14/COUNTA($H$14:$H$20)</f>
        <v>1.4430014430014428E-2</v>
      </c>
    </row>
    <row r="15" spans="1:14" s="49" customFormat="1" ht="10" x14ac:dyDescent="0.35">
      <c r="A15" s="439"/>
      <c r="B15" s="578"/>
      <c r="C15" s="444"/>
      <c r="D15" s="427"/>
      <c r="E15" s="481"/>
      <c r="F15" s="433"/>
      <c r="G15" s="571"/>
      <c r="H15" s="52" t="s">
        <v>311</v>
      </c>
      <c r="I15" s="186" t="s">
        <v>39</v>
      </c>
      <c r="J15" s="184">
        <f t="shared" ref="J15:J20" si="0">IF(I15="Yes", (7*2)/((7*2)+3)*$G$14/COUNTA($H$14:$H$20), 0)</f>
        <v>0</v>
      </c>
      <c r="K15" s="574"/>
      <c r="L15" s="533"/>
      <c r="N15" s="196"/>
    </row>
    <row r="16" spans="1:14" s="49" customFormat="1" ht="10" x14ac:dyDescent="0.35">
      <c r="A16" s="439"/>
      <c r="B16" s="578"/>
      <c r="C16" s="444"/>
      <c r="D16" s="427"/>
      <c r="E16" s="481"/>
      <c r="F16" s="433"/>
      <c r="G16" s="571"/>
      <c r="H16" s="52" t="s">
        <v>312</v>
      </c>
      <c r="I16" s="186" t="s">
        <v>39</v>
      </c>
      <c r="J16" s="184">
        <f t="shared" si="0"/>
        <v>0</v>
      </c>
      <c r="K16" s="574"/>
      <c r="L16" s="533"/>
    </row>
    <row r="17" spans="1:14" s="49" customFormat="1" ht="10" x14ac:dyDescent="0.35">
      <c r="A17" s="439"/>
      <c r="B17" s="578"/>
      <c r="C17" s="444"/>
      <c r="D17" s="427"/>
      <c r="E17" s="481"/>
      <c r="F17" s="433"/>
      <c r="G17" s="571"/>
      <c r="H17" s="52" t="s">
        <v>317</v>
      </c>
      <c r="I17" s="186" t="s">
        <v>39</v>
      </c>
      <c r="J17" s="184">
        <f t="shared" si="0"/>
        <v>0</v>
      </c>
      <c r="K17" s="574"/>
      <c r="L17" s="533"/>
    </row>
    <row r="18" spans="1:14" s="49" customFormat="1" ht="13.5" customHeight="1" x14ac:dyDescent="0.35">
      <c r="A18" s="439"/>
      <c r="B18" s="578"/>
      <c r="C18" s="444"/>
      <c r="D18" s="427"/>
      <c r="E18" s="481"/>
      <c r="F18" s="433"/>
      <c r="G18" s="571"/>
      <c r="H18" s="52" t="s">
        <v>318</v>
      </c>
      <c r="I18" s="186" t="s">
        <v>39</v>
      </c>
      <c r="J18" s="184">
        <f t="shared" si="0"/>
        <v>0</v>
      </c>
      <c r="K18" s="574"/>
      <c r="L18" s="533"/>
    </row>
    <row r="19" spans="1:14" s="49" customFormat="1" ht="10" x14ac:dyDescent="0.35">
      <c r="A19" s="439"/>
      <c r="B19" s="578"/>
      <c r="C19" s="444"/>
      <c r="D19" s="427"/>
      <c r="E19" s="481"/>
      <c r="F19" s="433"/>
      <c r="G19" s="571"/>
      <c r="H19" s="52" t="s">
        <v>319</v>
      </c>
      <c r="I19" s="186" t="s">
        <v>39</v>
      </c>
      <c r="J19" s="184">
        <f t="shared" si="0"/>
        <v>0</v>
      </c>
      <c r="K19" s="574"/>
      <c r="L19" s="533"/>
    </row>
    <row r="20" spans="1:14" s="49" customFormat="1" ht="105" customHeight="1" x14ac:dyDescent="0.35">
      <c r="A20" s="439"/>
      <c r="B20" s="578"/>
      <c r="C20" s="444"/>
      <c r="D20" s="427"/>
      <c r="E20" s="481"/>
      <c r="F20" s="433"/>
      <c r="G20" s="571"/>
      <c r="H20" s="52" t="s">
        <v>320</v>
      </c>
      <c r="I20" s="186" t="s">
        <v>39</v>
      </c>
      <c r="J20" s="184">
        <f t="shared" si="0"/>
        <v>0</v>
      </c>
      <c r="K20" s="574"/>
      <c r="L20" s="533"/>
    </row>
    <row r="21" spans="1:14" s="49" customFormat="1" ht="11.25" customHeight="1" x14ac:dyDescent="0.35">
      <c r="A21" s="576" t="s">
        <v>1031</v>
      </c>
      <c r="B21" s="577" t="s">
        <v>457</v>
      </c>
      <c r="C21" s="412" t="s">
        <v>325</v>
      </c>
      <c r="D21" s="426" t="s">
        <v>1032</v>
      </c>
      <c r="E21" s="480" t="s">
        <v>27</v>
      </c>
      <c r="F21" s="432">
        <f>IF(E21='Response Guidlines'!$D$81,'Response Guidlines'!$C$81, IF(E21='Response Guidlines'!$D$82,'Response Guidlines'!$C$82,IF(E21='Response Guidlines'!$D$83,'Response Guidlines'!$C$83,IF(E21='Response Guidlines'!$D$84,'Response Guidlines'!$C$84,IF(E21='Response Guidlines'!$D$85,'Response Guidlines'!$C$85,IF(E21='Response Guidlines'!$D$86,'Response Guidlines'!$C$86,IF(E21='Response Guidlines'!$D$87,'Response Guidlines'!$C$87,"No Rating")))))))</f>
        <v>4</v>
      </c>
      <c r="G21" s="570">
        <f>IFERROR((F21/$F$50)/_xlfn.XLOOKUP('Scoring Summary'!$D$31,'Response Guidlines'!$D$92:$D$191,'Response Guidlines'!$C$92:$C$191,"",0,1),0)</f>
        <v>0.1111111111111111</v>
      </c>
      <c r="H21" s="52" t="s">
        <v>309</v>
      </c>
      <c r="I21" s="186" t="s">
        <v>39</v>
      </c>
      <c r="J21" s="184">
        <f>IF(I21="Yes", $G$21/COUNTA($H$21:$H$25), 0)</f>
        <v>0</v>
      </c>
      <c r="K21" s="573">
        <f>SUM(J21:J25)</f>
        <v>0</v>
      </c>
      <c r="L21" s="532"/>
      <c r="N21" s="196"/>
    </row>
    <row r="22" spans="1:14" s="49" customFormat="1" ht="10" x14ac:dyDescent="0.35">
      <c r="A22" s="439"/>
      <c r="B22" s="578"/>
      <c r="C22" s="412"/>
      <c r="D22" s="427"/>
      <c r="E22" s="481"/>
      <c r="F22" s="433"/>
      <c r="G22" s="571"/>
      <c r="H22" s="52" t="s">
        <v>310</v>
      </c>
      <c r="I22" s="186" t="s">
        <v>39</v>
      </c>
      <c r="J22" s="184">
        <f>IF(I22="Yes", $G$21/COUNTA($H$21:$H$25), 0)</f>
        <v>0</v>
      </c>
      <c r="K22" s="574"/>
      <c r="L22" s="533"/>
      <c r="N22" s="196"/>
    </row>
    <row r="23" spans="1:14" s="49" customFormat="1" ht="10" x14ac:dyDescent="0.35">
      <c r="A23" s="439"/>
      <c r="B23" s="578"/>
      <c r="C23" s="412"/>
      <c r="D23" s="427"/>
      <c r="E23" s="481"/>
      <c r="F23" s="433"/>
      <c r="G23" s="571"/>
      <c r="H23" s="52" t="s">
        <v>311</v>
      </c>
      <c r="I23" s="186" t="s">
        <v>39</v>
      </c>
      <c r="J23" s="184">
        <f>IF(I23="Yes", $G$21/COUNTA($H$21:$H$25), 0)</f>
        <v>0</v>
      </c>
      <c r="K23" s="574"/>
      <c r="L23" s="533"/>
    </row>
    <row r="24" spans="1:14" s="49" customFormat="1" ht="10" x14ac:dyDescent="0.35">
      <c r="A24" s="439"/>
      <c r="B24" s="578"/>
      <c r="C24" s="412"/>
      <c r="D24" s="427"/>
      <c r="E24" s="481"/>
      <c r="F24" s="433"/>
      <c r="G24" s="571"/>
      <c r="H24" s="52" t="s">
        <v>312</v>
      </c>
      <c r="I24" s="186" t="s">
        <v>39</v>
      </c>
      <c r="J24" s="184">
        <f>IF(I24="Yes", $G$21/COUNTA($H$21:$H$25), 0)</f>
        <v>0</v>
      </c>
      <c r="K24" s="574"/>
      <c r="L24" s="533"/>
    </row>
    <row r="25" spans="1:14" s="49" customFormat="1" ht="230.25" customHeight="1" x14ac:dyDescent="0.35">
      <c r="A25" s="439"/>
      <c r="B25" s="579"/>
      <c r="C25" s="412"/>
      <c r="D25" s="427"/>
      <c r="E25" s="481"/>
      <c r="F25" s="433"/>
      <c r="G25" s="571"/>
      <c r="H25" s="52" t="s">
        <v>317</v>
      </c>
      <c r="I25" s="186" t="s">
        <v>39</v>
      </c>
      <c r="J25" s="184">
        <f>IF(I25="Yes", $G$21/COUNTA($H$21:$H$25), 0)</f>
        <v>0</v>
      </c>
      <c r="K25" s="574"/>
      <c r="L25" s="533"/>
    </row>
    <row r="26" spans="1:14" s="49" customFormat="1" ht="11.25" customHeight="1" x14ac:dyDescent="0.35">
      <c r="A26" s="576" t="s">
        <v>1033</v>
      </c>
      <c r="B26" s="578" t="s">
        <v>459</v>
      </c>
      <c r="C26" s="446" t="s">
        <v>1034</v>
      </c>
      <c r="D26" s="426" t="s">
        <v>1035</v>
      </c>
      <c r="E26" s="480" t="s">
        <v>28</v>
      </c>
      <c r="F26" s="432">
        <f>IF(E26='Response Guidlines'!$D$81,'Response Guidlines'!$C$81, IF(E26='Response Guidlines'!$D$82,'Response Guidlines'!$C$82,IF(E26='Response Guidlines'!$D$83,'Response Guidlines'!$C$83,IF(E26='Response Guidlines'!$D$84,'Response Guidlines'!$C$84,IF(E26='Response Guidlines'!$D$85,'Response Guidlines'!$C$85,IF(E26='Response Guidlines'!$D$86,'Response Guidlines'!$C$86,IF(E26='Response Guidlines'!$D$87,'Response Guidlines'!$C$87,"No Rating")))))))</f>
        <v>5</v>
      </c>
      <c r="G26" s="570">
        <f>IFERROR((F26/$F$50)/_xlfn.XLOOKUP('Scoring Summary'!$D$31,'Response Guidlines'!$D$92:$D$191,'Response Guidlines'!$C$92:$C$191,"",0,1),0)</f>
        <v>0.1388888888888889</v>
      </c>
      <c r="H26" s="52" t="s">
        <v>309</v>
      </c>
      <c r="I26" s="186" t="s">
        <v>39</v>
      </c>
      <c r="J26" s="184">
        <f>IF(I26="Yes", $G$26/COUNTA($H$26:$H$31), 0)</f>
        <v>0</v>
      </c>
      <c r="K26" s="573">
        <f>SUM(J26:J31)</f>
        <v>0</v>
      </c>
      <c r="L26" s="532"/>
      <c r="N26" s="196"/>
    </row>
    <row r="27" spans="1:14" s="49" customFormat="1" ht="10" x14ac:dyDescent="0.35">
      <c r="A27" s="439"/>
      <c r="B27" s="578"/>
      <c r="C27" s="444"/>
      <c r="D27" s="427"/>
      <c r="E27" s="481"/>
      <c r="F27" s="433"/>
      <c r="G27" s="571"/>
      <c r="H27" s="52" t="s">
        <v>310</v>
      </c>
      <c r="I27" s="186" t="s">
        <v>39</v>
      </c>
      <c r="J27" s="184">
        <f t="shared" ref="J27:J31" si="1">IF(I27="Yes", $G$26/COUNTA($H$26:$H$31), 0)</f>
        <v>0</v>
      </c>
      <c r="K27" s="574"/>
      <c r="L27" s="533"/>
      <c r="N27" s="196"/>
    </row>
    <row r="28" spans="1:14" s="49" customFormat="1" ht="10" x14ac:dyDescent="0.35">
      <c r="A28" s="439"/>
      <c r="B28" s="578"/>
      <c r="C28" s="444"/>
      <c r="D28" s="427"/>
      <c r="E28" s="481"/>
      <c r="F28" s="433"/>
      <c r="G28" s="571"/>
      <c r="H28" s="52" t="s">
        <v>311</v>
      </c>
      <c r="I28" s="186" t="s">
        <v>39</v>
      </c>
      <c r="J28" s="184">
        <f t="shared" si="1"/>
        <v>0</v>
      </c>
      <c r="K28" s="574"/>
      <c r="L28" s="533"/>
    </row>
    <row r="29" spans="1:14" s="49" customFormat="1" ht="10" x14ac:dyDescent="0.35">
      <c r="A29" s="439"/>
      <c r="B29" s="578"/>
      <c r="C29" s="444"/>
      <c r="D29" s="427"/>
      <c r="E29" s="481"/>
      <c r="F29" s="433"/>
      <c r="G29" s="571"/>
      <c r="H29" s="52" t="s">
        <v>312</v>
      </c>
      <c r="I29" s="186" t="s">
        <v>39</v>
      </c>
      <c r="J29" s="184">
        <f t="shared" si="1"/>
        <v>0</v>
      </c>
      <c r="K29" s="574"/>
      <c r="L29" s="533"/>
    </row>
    <row r="30" spans="1:14" s="49" customFormat="1" ht="10" x14ac:dyDescent="0.35">
      <c r="A30" s="439"/>
      <c r="B30" s="578"/>
      <c r="C30" s="444"/>
      <c r="D30" s="427"/>
      <c r="E30" s="481"/>
      <c r="F30" s="433"/>
      <c r="G30" s="571"/>
      <c r="H30" s="52" t="s">
        <v>317</v>
      </c>
      <c r="I30" s="186" t="s">
        <v>39</v>
      </c>
      <c r="J30" s="184">
        <f t="shared" si="1"/>
        <v>0</v>
      </c>
      <c r="K30" s="574"/>
      <c r="L30" s="533"/>
    </row>
    <row r="31" spans="1:14" s="49" customFormat="1" ht="111.75" customHeight="1" x14ac:dyDescent="0.35">
      <c r="A31" s="439"/>
      <c r="B31" s="579"/>
      <c r="C31" s="445"/>
      <c r="D31" s="427"/>
      <c r="E31" s="481"/>
      <c r="F31" s="433"/>
      <c r="G31" s="571"/>
      <c r="H31" s="52" t="s">
        <v>318</v>
      </c>
      <c r="I31" s="186" t="s">
        <v>39</v>
      </c>
      <c r="J31" s="184">
        <f t="shared" si="1"/>
        <v>0</v>
      </c>
      <c r="K31" s="574"/>
      <c r="L31" s="533"/>
    </row>
    <row r="32" spans="1:14" s="49" customFormat="1" ht="11.25" customHeight="1" x14ac:dyDescent="0.35">
      <c r="A32" s="576" t="s">
        <v>1036</v>
      </c>
      <c r="B32" s="578" t="s">
        <v>1283</v>
      </c>
      <c r="C32" s="446" t="s">
        <v>1037</v>
      </c>
      <c r="D32" s="426" t="s">
        <v>1038</v>
      </c>
      <c r="E32" s="480" t="s">
        <v>28</v>
      </c>
      <c r="F32" s="432">
        <f>IF(E32='Response Guidlines'!$D$81,'Response Guidlines'!$C$81, IF(E32='Response Guidlines'!$D$82,'Response Guidlines'!$C$82,IF(E32='Response Guidlines'!$D$83,'Response Guidlines'!$C$83,IF(E32='Response Guidlines'!$D$84,'Response Guidlines'!$C$84,IF(E32='Response Guidlines'!$D$85,'Response Guidlines'!$C$85,IF(E32='Response Guidlines'!$D$86,'Response Guidlines'!$C$86,IF(E32='Response Guidlines'!$D$87,'Response Guidlines'!$C$87,"No Rating")))))))</f>
        <v>5</v>
      </c>
      <c r="G32" s="570">
        <f>IFERROR((F32/$F$50)/_xlfn.XLOOKUP('Scoring Summary'!$D$31,'Response Guidlines'!$D$92:$D$191,'Response Guidlines'!$C$92:$C$191,"",0,1),0)</f>
        <v>0.1388888888888889</v>
      </c>
      <c r="H32" s="52" t="s">
        <v>309</v>
      </c>
      <c r="I32" s="186" t="s">
        <v>39</v>
      </c>
      <c r="J32" s="184">
        <f>IF(I32="Yes", $G$32/COUNTA($H$32:$H$37), 0)</f>
        <v>0</v>
      </c>
      <c r="K32" s="573">
        <f>SUM(J32:J37)</f>
        <v>0</v>
      </c>
      <c r="L32" s="532"/>
      <c r="N32" s="196"/>
    </row>
    <row r="33" spans="1:14" s="49" customFormat="1" ht="10" x14ac:dyDescent="0.35">
      <c r="A33" s="439"/>
      <c r="B33" s="578"/>
      <c r="C33" s="444"/>
      <c r="D33" s="427"/>
      <c r="E33" s="481"/>
      <c r="F33" s="433"/>
      <c r="G33" s="571"/>
      <c r="H33" s="52" t="s">
        <v>310</v>
      </c>
      <c r="I33" s="186" t="s">
        <v>39</v>
      </c>
      <c r="J33" s="184">
        <f t="shared" ref="J33:J37" si="2">IF(I33="Yes", $G$32/COUNTA($H$32:$H$37), 0)</f>
        <v>0</v>
      </c>
      <c r="K33" s="574"/>
      <c r="L33" s="533"/>
      <c r="N33" s="196"/>
    </row>
    <row r="34" spans="1:14" s="49" customFormat="1" ht="10" x14ac:dyDescent="0.35">
      <c r="A34" s="439"/>
      <c r="B34" s="578"/>
      <c r="C34" s="444"/>
      <c r="D34" s="427"/>
      <c r="E34" s="481"/>
      <c r="F34" s="433"/>
      <c r="G34" s="571"/>
      <c r="H34" s="52" t="s">
        <v>311</v>
      </c>
      <c r="I34" s="186" t="s">
        <v>39</v>
      </c>
      <c r="J34" s="184">
        <f t="shared" si="2"/>
        <v>0</v>
      </c>
      <c r="K34" s="574"/>
      <c r="L34" s="533"/>
    </row>
    <row r="35" spans="1:14" s="49" customFormat="1" ht="10" x14ac:dyDescent="0.35">
      <c r="A35" s="439"/>
      <c r="B35" s="578"/>
      <c r="C35" s="444"/>
      <c r="D35" s="427"/>
      <c r="E35" s="481"/>
      <c r="F35" s="433"/>
      <c r="G35" s="571"/>
      <c r="H35" s="52" t="s">
        <v>312</v>
      </c>
      <c r="I35" s="186" t="s">
        <v>39</v>
      </c>
      <c r="J35" s="184">
        <f t="shared" si="2"/>
        <v>0</v>
      </c>
      <c r="K35" s="574"/>
      <c r="L35" s="533"/>
    </row>
    <row r="36" spans="1:14" s="49" customFormat="1" ht="10" x14ac:dyDescent="0.35">
      <c r="A36" s="439"/>
      <c r="B36" s="578"/>
      <c r="C36" s="444"/>
      <c r="D36" s="427"/>
      <c r="E36" s="481"/>
      <c r="F36" s="433"/>
      <c r="G36" s="571"/>
      <c r="H36" s="52" t="s">
        <v>317</v>
      </c>
      <c r="I36" s="186" t="s">
        <v>39</v>
      </c>
      <c r="J36" s="184">
        <f t="shared" si="2"/>
        <v>0</v>
      </c>
      <c r="K36" s="574"/>
      <c r="L36" s="533"/>
    </row>
    <row r="37" spans="1:14" s="49" customFormat="1" ht="202.5" customHeight="1" x14ac:dyDescent="0.35">
      <c r="A37" s="439"/>
      <c r="B37" s="579"/>
      <c r="C37" s="445"/>
      <c r="D37" s="427"/>
      <c r="E37" s="481"/>
      <c r="F37" s="433"/>
      <c r="G37" s="571"/>
      <c r="H37" s="52" t="s">
        <v>318</v>
      </c>
      <c r="I37" s="186" t="s">
        <v>39</v>
      </c>
      <c r="J37" s="184">
        <f t="shared" si="2"/>
        <v>0</v>
      </c>
      <c r="K37" s="574"/>
      <c r="L37" s="533"/>
    </row>
    <row r="38" spans="1:14" s="49" customFormat="1" ht="11.25" customHeight="1" x14ac:dyDescent="0.35">
      <c r="A38" s="576" t="s">
        <v>1039</v>
      </c>
      <c r="B38" s="577" t="s">
        <v>463</v>
      </c>
      <c r="C38" s="444" t="s">
        <v>1273</v>
      </c>
      <c r="D38" s="426" t="s">
        <v>1041</v>
      </c>
      <c r="E38" s="480" t="s">
        <v>28</v>
      </c>
      <c r="F38" s="432">
        <f>IF(E38='Response Guidlines'!$D$81,'Response Guidlines'!$C$81, IF(E38='Response Guidlines'!$D$82,'Response Guidlines'!$C$82,IF(E38='Response Guidlines'!$D$83,'Response Guidlines'!$C$83,IF(E38='Response Guidlines'!$D$84,'Response Guidlines'!$C$84,IF(E38='Response Guidlines'!$D$85,'Response Guidlines'!$C$85,IF(E38='Response Guidlines'!$D$86,'Response Guidlines'!$C$86,IF(E38='Response Guidlines'!$D$87,'Response Guidlines'!$C$87,"No Rating")))))))</f>
        <v>5</v>
      </c>
      <c r="G38" s="570">
        <f>IFERROR((F38/$F$50)/_xlfn.XLOOKUP('Scoring Summary'!$D$31,'Response Guidlines'!$D$92:$D$191,'Response Guidlines'!$C$92:$C$191,"",0,1),0)</f>
        <v>0.1388888888888889</v>
      </c>
      <c r="H38" s="52" t="s">
        <v>309</v>
      </c>
      <c r="I38" s="186" t="s">
        <v>39</v>
      </c>
      <c r="J38" s="184">
        <f>IF(I38="Yes", $G$38/COUNTA($H$38:$H$41), 0)</f>
        <v>0</v>
      </c>
      <c r="K38" s="573">
        <f>SUM(J38:J41)</f>
        <v>0</v>
      </c>
      <c r="L38" s="532"/>
      <c r="N38" s="196"/>
    </row>
    <row r="39" spans="1:14" s="49" customFormat="1" ht="10" x14ac:dyDescent="0.35">
      <c r="A39" s="439"/>
      <c r="B39" s="578"/>
      <c r="C39" s="444"/>
      <c r="D39" s="427"/>
      <c r="E39" s="481"/>
      <c r="F39" s="433"/>
      <c r="G39" s="571"/>
      <c r="H39" s="52" t="s">
        <v>310</v>
      </c>
      <c r="I39" s="186" t="s">
        <v>39</v>
      </c>
      <c r="J39" s="184">
        <f t="shared" ref="J39:J41" si="3">IF(I39="Yes", $G$38/COUNTA($H$38:$H$41), 0)</f>
        <v>0</v>
      </c>
      <c r="K39" s="574"/>
      <c r="L39" s="533"/>
      <c r="N39" s="196"/>
    </row>
    <row r="40" spans="1:14" s="49" customFormat="1" ht="10" x14ac:dyDescent="0.35">
      <c r="A40" s="439"/>
      <c r="B40" s="578"/>
      <c r="C40" s="444"/>
      <c r="D40" s="427"/>
      <c r="E40" s="481"/>
      <c r="F40" s="433"/>
      <c r="G40" s="571"/>
      <c r="H40" s="52" t="s">
        <v>311</v>
      </c>
      <c r="I40" s="186" t="s">
        <v>39</v>
      </c>
      <c r="J40" s="184">
        <f t="shared" si="3"/>
        <v>0</v>
      </c>
      <c r="K40" s="574"/>
      <c r="L40" s="533"/>
    </row>
    <row r="41" spans="1:14" s="49" customFormat="1" ht="107.25" customHeight="1" x14ac:dyDescent="0.35">
      <c r="A41" s="439"/>
      <c r="B41" s="579"/>
      <c r="C41" s="444"/>
      <c r="D41" s="427"/>
      <c r="E41" s="481"/>
      <c r="F41" s="433"/>
      <c r="G41" s="571"/>
      <c r="H41" s="52" t="s">
        <v>312</v>
      </c>
      <c r="I41" s="186" t="s">
        <v>39</v>
      </c>
      <c r="J41" s="184">
        <f t="shared" si="3"/>
        <v>0</v>
      </c>
      <c r="K41" s="574"/>
      <c r="L41" s="533"/>
    </row>
    <row r="42" spans="1:14" s="49" customFormat="1" ht="11.25" customHeight="1" x14ac:dyDescent="0.35">
      <c r="A42" s="576" t="s">
        <v>1042</v>
      </c>
      <c r="B42" s="577" t="s">
        <v>465</v>
      </c>
      <c r="C42" s="446" t="s">
        <v>1043</v>
      </c>
      <c r="D42" s="426" t="s">
        <v>1044</v>
      </c>
      <c r="E42" s="480" t="s">
        <v>28</v>
      </c>
      <c r="F42" s="432">
        <f>IF(E42='Response Guidlines'!$D$81,'Response Guidlines'!$C$81, IF(E42='Response Guidlines'!$D$82,'Response Guidlines'!$C$82,IF(E42='Response Guidlines'!$D$83,'Response Guidlines'!$C$83,IF(E42='Response Guidlines'!$D$84,'Response Guidlines'!$C$84,IF(E42='Response Guidlines'!$D$85,'Response Guidlines'!$C$85,IF(E42='Response Guidlines'!$D$86,'Response Guidlines'!$C$86,IF(E42='Response Guidlines'!$D$87,'Response Guidlines'!$C$87,"No Rating")))))))</f>
        <v>5</v>
      </c>
      <c r="G42" s="570">
        <f>IFERROR((F42/$F$50)/_xlfn.XLOOKUP('Scoring Summary'!$D$31,'Response Guidlines'!$D$92:$D$191,'Response Guidlines'!$C$92:$C$191,"",0,1),0)</f>
        <v>0.1388888888888889</v>
      </c>
      <c r="H42" s="52" t="s">
        <v>309</v>
      </c>
      <c r="I42" s="186" t="s">
        <v>39</v>
      </c>
      <c r="J42" s="184">
        <f>IF(I42="Yes", $G$42/COUNTA($H$42:$H$46), 0)</f>
        <v>0</v>
      </c>
      <c r="K42" s="573">
        <f>SUM(J42:J46)</f>
        <v>0</v>
      </c>
      <c r="L42" s="532"/>
      <c r="N42" s="196"/>
    </row>
    <row r="43" spans="1:14" s="49" customFormat="1" ht="10" x14ac:dyDescent="0.35">
      <c r="A43" s="439"/>
      <c r="B43" s="578"/>
      <c r="C43" s="444"/>
      <c r="D43" s="427"/>
      <c r="E43" s="481"/>
      <c r="F43" s="433"/>
      <c r="G43" s="571"/>
      <c r="H43" s="52" t="s">
        <v>310</v>
      </c>
      <c r="I43" s="186" t="s">
        <v>39</v>
      </c>
      <c r="J43" s="184">
        <f>IF(I43="Yes", $G$42/COUNTA($H$42:$H$46), 0)</f>
        <v>0</v>
      </c>
      <c r="K43" s="574"/>
      <c r="L43" s="533"/>
      <c r="N43" s="196"/>
    </row>
    <row r="44" spans="1:14" s="49" customFormat="1" ht="10" x14ac:dyDescent="0.35">
      <c r="A44" s="439"/>
      <c r="B44" s="578"/>
      <c r="C44" s="444"/>
      <c r="D44" s="427"/>
      <c r="E44" s="481"/>
      <c r="F44" s="433"/>
      <c r="G44" s="571"/>
      <c r="H44" s="52" t="s">
        <v>311</v>
      </c>
      <c r="I44" s="186" t="s">
        <v>39</v>
      </c>
      <c r="J44" s="184">
        <f>IF(I44="Yes", $G$42/COUNTA($H$42:$H$46), 0)</f>
        <v>0</v>
      </c>
      <c r="K44" s="574"/>
      <c r="L44" s="533"/>
    </row>
    <row r="45" spans="1:14" s="49" customFormat="1" ht="10" x14ac:dyDescent="0.35">
      <c r="A45" s="439"/>
      <c r="B45" s="578"/>
      <c r="C45" s="444"/>
      <c r="D45" s="427"/>
      <c r="E45" s="481"/>
      <c r="F45" s="433"/>
      <c r="G45" s="571"/>
      <c r="H45" s="52" t="s">
        <v>312</v>
      </c>
      <c r="I45" s="186" t="s">
        <v>39</v>
      </c>
      <c r="J45" s="184">
        <f>IF(I45="Yes", $G$42/COUNTA($H$42:$H$46), 0)</f>
        <v>0</v>
      </c>
      <c r="K45" s="574"/>
      <c r="L45" s="533"/>
    </row>
    <row r="46" spans="1:14" s="49" customFormat="1" ht="144.75" customHeight="1" x14ac:dyDescent="0.35">
      <c r="A46" s="439"/>
      <c r="B46" s="579"/>
      <c r="C46" s="445"/>
      <c r="D46" s="427"/>
      <c r="E46" s="481"/>
      <c r="F46" s="433"/>
      <c r="G46" s="571"/>
      <c r="H46" s="52" t="s">
        <v>317</v>
      </c>
      <c r="I46" s="186" t="s">
        <v>39</v>
      </c>
      <c r="J46" s="184">
        <f>IF(I46="Yes", $G$42/COUNTA($H$42:$H$46), 0)</f>
        <v>0</v>
      </c>
      <c r="K46" s="574"/>
      <c r="L46" s="533"/>
    </row>
    <row r="47" spans="1:14" s="49" customFormat="1" ht="11.25" customHeight="1" x14ac:dyDescent="0.35">
      <c r="A47" s="576" t="s">
        <v>1045</v>
      </c>
      <c r="B47" s="578" t="s">
        <v>467</v>
      </c>
      <c r="C47" s="444" t="s">
        <v>1046</v>
      </c>
      <c r="D47" s="426" t="s">
        <v>1272</v>
      </c>
      <c r="E47" s="480" t="s">
        <v>27</v>
      </c>
      <c r="F47" s="432">
        <f>IF(E47='Response Guidlines'!$D$81,'Response Guidlines'!$C$81, IF(E47='Response Guidlines'!$D$82,'Response Guidlines'!$C$82,IF(E47='Response Guidlines'!$D$83,'Response Guidlines'!$C$83,IF(E47='Response Guidlines'!$D$84,'Response Guidlines'!$C$84,IF(E47='Response Guidlines'!$D$85,'Response Guidlines'!$C$85,IF(E47='Response Guidlines'!$D$86,'Response Guidlines'!$C$86,IF(E47='Response Guidlines'!$D$87,'Response Guidlines'!$C$87,"No Rating")))))))</f>
        <v>4</v>
      </c>
      <c r="G47" s="570">
        <f>IFERROR((F47/$F$50)/_xlfn.XLOOKUP('Scoring Summary'!$D$31,'Response Guidlines'!$D$92:$D$191,'Response Guidlines'!$C$92:$C$191,"",0,1),0)</f>
        <v>0.1111111111111111</v>
      </c>
      <c r="H47" s="52" t="s">
        <v>1269</v>
      </c>
      <c r="I47" s="186" t="s">
        <v>39</v>
      </c>
      <c r="J47" s="184">
        <f>IF(I47="Yes", $G$47/COUNTA($H$47:$H$49), 0)</f>
        <v>0</v>
      </c>
      <c r="K47" s="573">
        <f>SUM(J47:J49)</f>
        <v>0</v>
      </c>
      <c r="L47" s="426"/>
      <c r="N47" s="196"/>
    </row>
    <row r="48" spans="1:14" s="49" customFormat="1" ht="10" x14ac:dyDescent="0.35">
      <c r="A48" s="439"/>
      <c r="B48" s="578"/>
      <c r="C48" s="444"/>
      <c r="D48" s="427"/>
      <c r="E48" s="481"/>
      <c r="F48" s="433"/>
      <c r="G48" s="571"/>
      <c r="H48" s="52" t="s">
        <v>1270</v>
      </c>
      <c r="I48" s="186" t="s">
        <v>39</v>
      </c>
      <c r="J48" s="184">
        <f>IF(I48="Yes", $G$47/COUNTA($H$47:$H$49), 0)</f>
        <v>0</v>
      </c>
      <c r="K48" s="574"/>
      <c r="L48" s="427"/>
      <c r="N48" s="196"/>
    </row>
    <row r="49" spans="1:12" s="49" customFormat="1" ht="232.5" customHeight="1" thickBot="1" x14ac:dyDescent="0.4">
      <c r="A49" s="439"/>
      <c r="B49" s="578"/>
      <c r="C49" s="444"/>
      <c r="D49" s="427"/>
      <c r="E49" s="481"/>
      <c r="F49" s="433"/>
      <c r="G49" s="571"/>
      <c r="H49" s="52" t="s">
        <v>1271</v>
      </c>
      <c r="I49" s="186" t="s">
        <v>39</v>
      </c>
      <c r="J49" s="184">
        <f>IF(I49="Yes", $G$47/COUNTA($H$47:$H$49), 0)</f>
        <v>0</v>
      </c>
      <c r="K49" s="574"/>
      <c r="L49" s="427"/>
    </row>
    <row r="50" spans="1:12" s="49" customFormat="1" ht="16.149999999999999" customHeight="1" thickBot="1" x14ac:dyDescent="0.4">
      <c r="A50" s="144"/>
      <c r="B50" s="179"/>
      <c r="C50" s="82" t="s">
        <v>138</v>
      </c>
      <c r="D50" s="82"/>
      <c r="E50" s="82"/>
      <c r="F50" s="145">
        <f>SUM(F12:F49)</f>
        <v>36</v>
      </c>
      <c r="G50" s="84">
        <f>IFERROR(SUM(G12:G49),0)</f>
        <v>1</v>
      </c>
      <c r="H50" s="478" t="s">
        <v>139</v>
      </c>
      <c r="I50" s="479"/>
      <c r="J50" s="164"/>
      <c r="K50" s="84">
        <f>SUM(K14:K20)</f>
        <v>0</v>
      </c>
      <c r="L50" s="81"/>
    </row>
    <row r="53" spans="1:12" hidden="1" x14ac:dyDescent="0.25"/>
    <row r="54" spans="1:12" hidden="1" x14ac:dyDescent="0.25">
      <c r="C54" s="198" t="s">
        <v>1048</v>
      </c>
      <c r="G54" s="18"/>
    </row>
    <row r="55" spans="1:12" hidden="1" x14ac:dyDescent="0.25">
      <c r="C55" s="199" t="s">
        <v>1049</v>
      </c>
    </row>
    <row r="66" spans="7:10" x14ac:dyDescent="0.25">
      <c r="G66" s="201"/>
    </row>
    <row r="67" spans="7:10" x14ac:dyDescent="0.25">
      <c r="J67" s="202"/>
    </row>
    <row r="68" spans="7:10" x14ac:dyDescent="0.25">
      <c r="G68" s="202"/>
      <c r="J68" s="202"/>
    </row>
    <row r="69" spans="7:10" x14ac:dyDescent="0.25">
      <c r="J69" s="202"/>
    </row>
    <row r="70" spans="7:10" x14ac:dyDescent="0.25">
      <c r="J70" s="202"/>
    </row>
    <row r="71" spans="7:10" x14ac:dyDescent="0.25">
      <c r="J71" s="202"/>
    </row>
  </sheetData>
  <mergeCells count="80">
    <mergeCell ref="H50:I50"/>
    <mergeCell ref="H9:L9"/>
    <mergeCell ref="L42:L46"/>
    <mergeCell ref="A47:A49"/>
    <mergeCell ref="B47:B49"/>
    <mergeCell ref="C47:C49"/>
    <mergeCell ref="D47:D49"/>
    <mergeCell ref="E47:E49"/>
    <mergeCell ref="F47:F49"/>
    <mergeCell ref="G47:G49"/>
    <mergeCell ref="K47:K49"/>
    <mergeCell ref="L47:L49"/>
    <mergeCell ref="K38:K41"/>
    <mergeCell ref="L38:L41"/>
    <mergeCell ref="A42:A46"/>
    <mergeCell ref="B42:B46"/>
    <mergeCell ref="C42:C46"/>
    <mergeCell ref="D42:D46"/>
    <mergeCell ref="E42:E46"/>
    <mergeCell ref="F42:F46"/>
    <mergeCell ref="G42:G46"/>
    <mergeCell ref="K42:K46"/>
    <mergeCell ref="G32:G37"/>
    <mergeCell ref="K32:K37"/>
    <mergeCell ref="L32:L37"/>
    <mergeCell ref="A38:A41"/>
    <mergeCell ref="B38:B41"/>
    <mergeCell ref="C38:C41"/>
    <mergeCell ref="D38:D41"/>
    <mergeCell ref="E38:E41"/>
    <mergeCell ref="F38:F41"/>
    <mergeCell ref="G38:G41"/>
    <mergeCell ref="A32:A37"/>
    <mergeCell ref="B32:B37"/>
    <mergeCell ref="C32:C37"/>
    <mergeCell ref="D32:D37"/>
    <mergeCell ref="E32:E37"/>
    <mergeCell ref="A26:A31"/>
    <mergeCell ref="B26:B31"/>
    <mergeCell ref="C26:C31"/>
    <mergeCell ref="D26:D31"/>
    <mergeCell ref="E26:E31"/>
    <mergeCell ref="F32:F37"/>
    <mergeCell ref="L21:L25"/>
    <mergeCell ref="F26:F31"/>
    <mergeCell ref="G26:G31"/>
    <mergeCell ref="K26:K31"/>
    <mergeCell ref="L26:L31"/>
    <mergeCell ref="F14:F20"/>
    <mergeCell ref="G14:G20"/>
    <mergeCell ref="K14:K20"/>
    <mergeCell ref="L14:L20"/>
    <mergeCell ref="A21:A25"/>
    <mergeCell ref="B21:B25"/>
    <mergeCell ref="C21:C25"/>
    <mergeCell ref="D21:D25"/>
    <mergeCell ref="E21:E25"/>
    <mergeCell ref="F21:F25"/>
    <mergeCell ref="G21:G25"/>
    <mergeCell ref="K21:K25"/>
    <mergeCell ref="A14:A20"/>
    <mergeCell ref="B14:B20"/>
    <mergeCell ref="C14:C20"/>
    <mergeCell ref="D14:D20"/>
    <mergeCell ref="E14:E20"/>
    <mergeCell ref="F2:J4"/>
    <mergeCell ref="A10:A11"/>
    <mergeCell ref="B10:D10"/>
    <mergeCell ref="I11:J11"/>
    <mergeCell ref="A12:A13"/>
    <mergeCell ref="B12:B13"/>
    <mergeCell ref="C12:C13"/>
    <mergeCell ref="D12:D13"/>
    <mergeCell ref="E12:E13"/>
    <mergeCell ref="F12:F13"/>
    <mergeCell ref="G12:G13"/>
    <mergeCell ref="G10:L10"/>
    <mergeCell ref="E10:F10"/>
    <mergeCell ref="K12:K13"/>
    <mergeCell ref="L12:L13"/>
  </mergeCells>
  <pageMargins left="0.25" right="0.25" top="0.75" bottom="0.75" header="0.3" footer="0.3"/>
  <pageSetup paperSize="9" scale="59"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126D09D3-8A91-4567-9924-49E5E7BF10DE}">
          <x14:formula1>
            <xm:f>'Response Guidlines'!$D$81:$D$87</xm:f>
          </x14:formula1>
          <xm:sqref>E14 E12 E21 E26 E32 E38 E42 E47</xm:sqref>
        </x14:dataValidation>
        <x14:dataValidation type="list" allowBlank="1" showInputMessage="1" showErrorMessage="1" xr:uid="{87C80210-1FEF-420D-91FD-BC0B5C85683D}">
          <x14:formula1>
            <xm:f>'Response Guidlines'!$C$200:$C$201</xm:f>
          </x14:formula1>
          <xm:sqref>I12:I49</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B4EA1-1E5E-4B14-9158-FE2A24279598}">
  <dimension ref="A1:C77"/>
  <sheetViews>
    <sheetView workbookViewId="0">
      <selection activeCell="A78" sqref="A78:XFD79"/>
    </sheetView>
  </sheetViews>
  <sheetFormatPr defaultColWidth="9.26953125" defaultRowHeight="14.5" x14ac:dyDescent="0.35"/>
  <cols>
    <col min="1" max="1" width="13.7265625" style="227" bestFit="1" customWidth="1"/>
    <col min="2" max="2" width="47.453125" style="227" customWidth="1"/>
    <col min="3" max="3" width="79.26953125" style="227" customWidth="1"/>
    <col min="4" max="16384" width="9.26953125" style="222"/>
  </cols>
  <sheetData>
    <row r="1" spans="1:3" x14ac:dyDescent="0.35">
      <c r="A1" s="221" t="s">
        <v>1073</v>
      </c>
      <c r="B1" s="221" t="s">
        <v>1074</v>
      </c>
      <c r="C1" s="221" t="s">
        <v>1075</v>
      </c>
    </row>
    <row r="2" spans="1:3" ht="34.5" x14ac:dyDescent="0.35">
      <c r="A2" s="223" t="s">
        <v>1076</v>
      </c>
      <c r="B2" s="223" t="s">
        <v>1077</v>
      </c>
      <c r="C2" s="223" t="s">
        <v>1078</v>
      </c>
    </row>
    <row r="3" spans="1:3" ht="23" x14ac:dyDescent="0.35">
      <c r="A3" s="223" t="s">
        <v>1076</v>
      </c>
      <c r="B3" s="223" t="s">
        <v>1079</v>
      </c>
      <c r="C3" s="223" t="s">
        <v>1080</v>
      </c>
    </row>
    <row r="4" spans="1:3" x14ac:dyDescent="0.35">
      <c r="A4" s="223" t="s">
        <v>1076</v>
      </c>
      <c r="B4" s="223" t="s">
        <v>1081</v>
      </c>
      <c r="C4" s="223" t="s">
        <v>1082</v>
      </c>
    </row>
    <row r="5" spans="1:3" ht="34.5" x14ac:dyDescent="0.35">
      <c r="A5" s="799" t="s">
        <v>1076</v>
      </c>
      <c r="B5" s="799" t="s">
        <v>1083</v>
      </c>
      <c r="C5" s="223" t="s">
        <v>1084</v>
      </c>
    </row>
    <row r="6" spans="1:3" ht="34.5" x14ac:dyDescent="0.35">
      <c r="A6" s="799" t="s">
        <v>1076</v>
      </c>
      <c r="B6" s="799"/>
      <c r="C6" s="223" t="s">
        <v>1085</v>
      </c>
    </row>
    <row r="7" spans="1:3" x14ac:dyDescent="0.35">
      <c r="A7" s="223" t="s">
        <v>1076</v>
      </c>
      <c r="B7" s="223" t="s">
        <v>1086</v>
      </c>
      <c r="C7" s="223" t="s">
        <v>1087</v>
      </c>
    </row>
    <row r="8" spans="1:3" ht="23" x14ac:dyDescent="0.35">
      <c r="A8" s="223" t="s">
        <v>1076</v>
      </c>
      <c r="B8" s="223" t="s">
        <v>1088</v>
      </c>
      <c r="C8" s="223" t="s">
        <v>1089</v>
      </c>
    </row>
    <row r="9" spans="1:3" ht="23" x14ac:dyDescent="0.35">
      <c r="A9" s="220" t="s">
        <v>1076</v>
      </c>
      <c r="B9" s="220" t="s">
        <v>1090</v>
      </c>
      <c r="C9" s="220" t="s">
        <v>1091</v>
      </c>
    </row>
    <row r="10" spans="1:3" ht="34.5" x14ac:dyDescent="0.35">
      <c r="A10" s="223" t="s">
        <v>1076</v>
      </c>
      <c r="B10" s="223" t="s">
        <v>1092</v>
      </c>
      <c r="C10" s="223" t="s">
        <v>1093</v>
      </c>
    </row>
    <row r="11" spans="1:3" ht="80.5" x14ac:dyDescent="0.35">
      <c r="A11" s="223" t="s">
        <v>1076</v>
      </c>
      <c r="B11" s="223" t="s">
        <v>1094</v>
      </c>
      <c r="C11" s="223" t="s">
        <v>1095</v>
      </c>
    </row>
    <row r="12" spans="1:3" x14ac:dyDescent="0.35">
      <c r="A12" s="220" t="s">
        <v>1076</v>
      </c>
      <c r="B12" s="220" t="s">
        <v>1096</v>
      </c>
      <c r="C12" s="220" t="s">
        <v>1097</v>
      </c>
    </row>
    <row r="13" spans="1:3" ht="23" x14ac:dyDescent="0.35">
      <c r="A13" s="220" t="s">
        <v>1076</v>
      </c>
      <c r="B13" s="220" t="s">
        <v>1098</v>
      </c>
      <c r="C13" s="224" t="s">
        <v>1099</v>
      </c>
    </row>
    <row r="14" spans="1:3" ht="23" x14ac:dyDescent="0.35">
      <c r="A14" s="220" t="s">
        <v>1076</v>
      </c>
      <c r="B14" s="220"/>
      <c r="C14" s="224" t="s">
        <v>1100</v>
      </c>
    </row>
    <row r="15" spans="1:3" ht="23" x14ac:dyDescent="0.35">
      <c r="A15" s="220" t="s">
        <v>1076</v>
      </c>
      <c r="B15" s="220"/>
      <c r="C15" s="224" t="s">
        <v>1101</v>
      </c>
    </row>
    <row r="16" spans="1:3" x14ac:dyDescent="0.35">
      <c r="A16" s="220" t="s">
        <v>1076</v>
      </c>
      <c r="B16" s="220"/>
      <c r="C16" s="224" t="s">
        <v>1102</v>
      </c>
    </row>
    <row r="17" spans="1:3" x14ac:dyDescent="0.35">
      <c r="A17" s="223" t="s">
        <v>1076</v>
      </c>
      <c r="B17" s="223" t="s">
        <v>1103</v>
      </c>
      <c r="C17" s="223" t="s">
        <v>1104</v>
      </c>
    </row>
    <row r="18" spans="1:3" ht="46" x14ac:dyDescent="0.35">
      <c r="A18" s="223" t="s">
        <v>1076</v>
      </c>
      <c r="B18" s="223" t="s">
        <v>1105</v>
      </c>
      <c r="C18" s="223" t="s">
        <v>1106</v>
      </c>
    </row>
    <row r="19" spans="1:3" x14ac:dyDescent="0.35">
      <c r="A19" s="223" t="s">
        <v>1076</v>
      </c>
      <c r="B19" s="223" t="s">
        <v>1107</v>
      </c>
      <c r="C19" s="799" t="s">
        <v>1108</v>
      </c>
    </row>
    <row r="20" spans="1:3" x14ac:dyDescent="0.35">
      <c r="A20" s="223" t="s">
        <v>1076</v>
      </c>
      <c r="B20" s="223" t="s">
        <v>1109</v>
      </c>
      <c r="C20" s="799"/>
    </row>
    <row r="21" spans="1:3" ht="23" x14ac:dyDescent="0.35">
      <c r="A21" s="223" t="s">
        <v>1076</v>
      </c>
      <c r="B21" s="223" t="s">
        <v>1110</v>
      </c>
      <c r="C21" s="223" t="s">
        <v>1111</v>
      </c>
    </row>
    <row r="22" spans="1:3" x14ac:dyDescent="0.35">
      <c r="A22" s="223" t="s">
        <v>1076</v>
      </c>
      <c r="B22" s="223" t="s">
        <v>1112</v>
      </c>
      <c r="C22" s="223" t="s">
        <v>1113</v>
      </c>
    </row>
    <row r="23" spans="1:3" ht="34.5" x14ac:dyDescent="0.35">
      <c r="A23" s="223" t="s">
        <v>1076</v>
      </c>
      <c r="B23" s="223" t="s">
        <v>1114</v>
      </c>
      <c r="C23" s="223" t="s">
        <v>1115</v>
      </c>
    </row>
    <row r="24" spans="1:3" x14ac:dyDescent="0.35">
      <c r="A24" s="223" t="s">
        <v>1076</v>
      </c>
      <c r="B24" s="223" t="s">
        <v>1116</v>
      </c>
      <c r="C24" s="799" t="s">
        <v>1117</v>
      </c>
    </row>
    <row r="25" spans="1:3" x14ac:dyDescent="0.35">
      <c r="A25" s="223" t="s">
        <v>1076</v>
      </c>
      <c r="B25" s="223" t="s">
        <v>1118</v>
      </c>
      <c r="C25" s="799"/>
    </row>
    <row r="26" spans="1:3" ht="34.5" x14ac:dyDescent="0.35">
      <c r="A26" s="223" t="s">
        <v>1076</v>
      </c>
      <c r="B26" s="223" t="s">
        <v>1119</v>
      </c>
      <c r="C26" s="223" t="s">
        <v>1120</v>
      </c>
    </row>
    <row r="27" spans="1:3" x14ac:dyDescent="0.35">
      <c r="A27" s="223" t="s">
        <v>1076</v>
      </c>
      <c r="B27" s="223" t="s">
        <v>1121</v>
      </c>
      <c r="C27" s="223" t="s">
        <v>1122</v>
      </c>
    </row>
    <row r="28" spans="1:3" ht="34.5" x14ac:dyDescent="0.35">
      <c r="A28" s="223" t="s">
        <v>1076</v>
      </c>
      <c r="B28" s="223" t="s">
        <v>1123</v>
      </c>
      <c r="C28" s="220" t="s">
        <v>1124</v>
      </c>
    </row>
    <row r="29" spans="1:3" ht="23" x14ac:dyDescent="0.35">
      <c r="A29" s="223" t="s">
        <v>1076</v>
      </c>
      <c r="B29" s="223" t="s">
        <v>1125</v>
      </c>
      <c r="C29" s="223" t="s">
        <v>1126</v>
      </c>
    </row>
    <row r="30" spans="1:3" ht="34.5" x14ac:dyDescent="0.35">
      <c r="A30" s="223" t="s">
        <v>1076</v>
      </c>
      <c r="B30" s="223" t="s">
        <v>1127</v>
      </c>
      <c r="C30" s="223" t="s">
        <v>1128</v>
      </c>
    </row>
    <row r="31" spans="1:3" ht="23" x14ac:dyDescent="0.35">
      <c r="A31" s="223" t="s">
        <v>1076</v>
      </c>
      <c r="B31" s="223" t="s">
        <v>1129</v>
      </c>
      <c r="C31" s="223" t="s">
        <v>1130</v>
      </c>
    </row>
    <row r="32" spans="1:3" x14ac:dyDescent="0.35">
      <c r="A32" s="223" t="s">
        <v>1076</v>
      </c>
      <c r="B32" s="223" t="s">
        <v>1131</v>
      </c>
      <c r="C32" s="799" t="s">
        <v>1132</v>
      </c>
    </row>
    <row r="33" spans="1:3" x14ac:dyDescent="0.35">
      <c r="A33" s="223" t="s">
        <v>1076</v>
      </c>
      <c r="B33" s="223" t="s">
        <v>1133</v>
      </c>
      <c r="C33" s="799"/>
    </row>
    <row r="34" spans="1:3" ht="46" x14ac:dyDescent="0.35">
      <c r="A34" s="223" t="s">
        <v>1076</v>
      </c>
      <c r="B34" s="223" t="s">
        <v>1134</v>
      </c>
      <c r="C34" s="223" t="s">
        <v>1135</v>
      </c>
    </row>
    <row r="35" spans="1:3" ht="34.5" x14ac:dyDescent="0.35">
      <c r="A35" s="223" t="s">
        <v>1076</v>
      </c>
      <c r="B35" s="223" t="s">
        <v>1136</v>
      </c>
      <c r="C35" s="223" t="s">
        <v>1137</v>
      </c>
    </row>
    <row r="36" spans="1:3" ht="46" x14ac:dyDescent="0.35">
      <c r="A36" s="223" t="s">
        <v>1076</v>
      </c>
      <c r="B36" s="223" t="s">
        <v>1138</v>
      </c>
      <c r="C36" s="223" t="s">
        <v>1139</v>
      </c>
    </row>
    <row r="37" spans="1:3" x14ac:dyDescent="0.35">
      <c r="A37" s="220" t="s">
        <v>1076</v>
      </c>
      <c r="B37" s="220" t="s">
        <v>1140</v>
      </c>
      <c r="C37" s="220" t="s">
        <v>1141</v>
      </c>
    </row>
    <row r="38" spans="1:3" ht="23" x14ac:dyDescent="0.35">
      <c r="A38" s="220" t="s">
        <v>1076</v>
      </c>
      <c r="B38" s="220" t="s">
        <v>1142</v>
      </c>
      <c r="C38" s="220" t="s">
        <v>1143</v>
      </c>
    </row>
    <row r="39" spans="1:3" ht="34.5" x14ac:dyDescent="0.35">
      <c r="A39" s="220" t="s">
        <v>1076</v>
      </c>
      <c r="B39" s="220" t="s">
        <v>1144</v>
      </c>
      <c r="C39" s="220" t="s">
        <v>1145</v>
      </c>
    </row>
    <row r="40" spans="1:3" ht="23" x14ac:dyDescent="0.35">
      <c r="A40" s="220" t="s">
        <v>1146</v>
      </c>
      <c r="B40" s="220" t="s">
        <v>1147</v>
      </c>
      <c r="C40" s="220" t="s">
        <v>1148</v>
      </c>
    </row>
    <row r="41" spans="1:3" ht="34.5" x14ac:dyDescent="0.35">
      <c r="A41" s="220" t="s">
        <v>1146</v>
      </c>
      <c r="B41" s="220" t="s">
        <v>1149</v>
      </c>
      <c r="C41" s="220" t="s">
        <v>1150</v>
      </c>
    </row>
    <row r="42" spans="1:3" ht="46" x14ac:dyDescent="0.35">
      <c r="A42" s="220" t="s">
        <v>1146</v>
      </c>
      <c r="B42" s="220" t="s">
        <v>1151</v>
      </c>
      <c r="C42" s="220" t="s">
        <v>1152</v>
      </c>
    </row>
    <row r="43" spans="1:3" ht="34.5" x14ac:dyDescent="0.35">
      <c r="A43" s="220" t="s">
        <v>1146</v>
      </c>
      <c r="B43" s="220" t="s">
        <v>1083</v>
      </c>
      <c r="C43" s="220" t="s">
        <v>1084</v>
      </c>
    </row>
    <row r="44" spans="1:3" ht="34.5" x14ac:dyDescent="0.35">
      <c r="A44" s="220" t="s">
        <v>1146</v>
      </c>
      <c r="B44" s="220"/>
      <c r="C44" s="220" t="s">
        <v>1085</v>
      </c>
    </row>
    <row r="45" spans="1:3" ht="46" x14ac:dyDescent="0.35">
      <c r="A45" s="220" t="s">
        <v>1146</v>
      </c>
      <c r="B45" s="220" t="s">
        <v>1153</v>
      </c>
      <c r="C45" s="220" t="s">
        <v>1154</v>
      </c>
    </row>
    <row r="46" spans="1:3" ht="57.5" x14ac:dyDescent="0.35">
      <c r="A46" s="220" t="s">
        <v>1146</v>
      </c>
      <c r="B46" s="220" t="s">
        <v>1155</v>
      </c>
      <c r="C46" s="220" t="s">
        <v>1156</v>
      </c>
    </row>
    <row r="47" spans="1:3" ht="34.5" x14ac:dyDescent="0.35">
      <c r="A47" s="220" t="s">
        <v>1146</v>
      </c>
      <c r="B47" s="220" t="s">
        <v>1157</v>
      </c>
      <c r="C47" s="220" t="s">
        <v>1158</v>
      </c>
    </row>
    <row r="48" spans="1:3" ht="23" x14ac:dyDescent="0.35">
      <c r="A48" s="220" t="s">
        <v>1146</v>
      </c>
      <c r="B48" s="220" t="s">
        <v>1159</v>
      </c>
      <c r="C48" s="220" t="s">
        <v>1160</v>
      </c>
    </row>
    <row r="49" spans="1:3" x14ac:dyDescent="0.35">
      <c r="A49" s="220" t="s">
        <v>1146</v>
      </c>
      <c r="B49" s="220" t="s">
        <v>1110</v>
      </c>
      <c r="C49" s="220" t="s">
        <v>1161</v>
      </c>
    </row>
    <row r="50" spans="1:3" x14ac:dyDescent="0.35">
      <c r="A50" s="220" t="s">
        <v>1146</v>
      </c>
      <c r="B50" s="220" t="s">
        <v>1121</v>
      </c>
      <c r="C50" s="220" t="s">
        <v>1162</v>
      </c>
    </row>
    <row r="51" spans="1:3" ht="46" x14ac:dyDescent="0.35">
      <c r="A51" s="220" t="s">
        <v>1146</v>
      </c>
      <c r="B51" s="220" t="s">
        <v>1136</v>
      </c>
      <c r="C51" s="220" t="s">
        <v>1163</v>
      </c>
    </row>
    <row r="53" spans="1:3" x14ac:dyDescent="0.35">
      <c r="A53" s="221" t="s">
        <v>1073</v>
      </c>
      <c r="B53" s="225" t="s">
        <v>1164</v>
      </c>
      <c r="C53" s="225" t="s">
        <v>1165</v>
      </c>
    </row>
    <row r="54" spans="1:3" x14ac:dyDescent="0.35">
      <c r="A54" s="220"/>
      <c r="B54" s="226" t="s">
        <v>1166</v>
      </c>
      <c r="C54" s="226" t="s">
        <v>1167</v>
      </c>
    </row>
    <row r="55" spans="1:3" x14ac:dyDescent="0.35">
      <c r="A55" s="220"/>
      <c r="B55" s="226" t="s">
        <v>1146</v>
      </c>
      <c r="C55" s="226" t="s">
        <v>1168</v>
      </c>
    </row>
    <row r="56" spans="1:3" x14ac:dyDescent="0.35">
      <c r="A56" s="220" t="s">
        <v>1076</v>
      </c>
      <c r="B56" s="226" t="s">
        <v>1169</v>
      </c>
      <c r="C56" s="226" t="s">
        <v>1170</v>
      </c>
    </row>
    <row r="57" spans="1:3" x14ac:dyDescent="0.35">
      <c r="A57" s="220" t="s">
        <v>1076</v>
      </c>
      <c r="B57" s="226" t="s">
        <v>1171</v>
      </c>
      <c r="C57" s="226" t="s">
        <v>1172</v>
      </c>
    </row>
    <row r="58" spans="1:3" x14ac:dyDescent="0.35">
      <c r="A58" s="220" t="s">
        <v>1076</v>
      </c>
      <c r="B58" s="226" t="s">
        <v>1173</v>
      </c>
      <c r="C58" s="226" t="s">
        <v>1174</v>
      </c>
    </row>
    <row r="59" spans="1:3" x14ac:dyDescent="0.35">
      <c r="A59" s="220" t="s">
        <v>1076</v>
      </c>
      <c r="B59" s="226" t="s">
        <v>1175</v>
      </c>
      <c r="C59" s="226" t="s">
        <v>1176</v>
      </c>
    </row>
    <row r="60" spans="1:3" x14ac:dyDescent="0.35">
      <c r="A60" s="220" t="s">
        <v>1076</v>
      </c>
      <c r="B60" s="226" t="s">
        <v>279</v>
      </c>
      <c r="C60" s="226" t="s">
        <v>1177</v>
      </c>
    </row>
    <row r="61" spans="1:3" x14ac:dyDescent="0.35">
      <c r="A61" s="220" t="s">
        <v>1076</v>
      </c>
      <c r="B61" s="226" t="s">
        <v>1178</v>
      </c>
      <c r="C61" s="226" t="s">
        <v>1179</v>
      </c>
    </row>
    <row r="62" spans="1:3" x14ac:dyDescent="0.35">
      <c r="A62" s="220" t="s">
        <v>1076</v>
      </c>
      <c r="B62" s="226" t="s">
        <v>1180</v>
      </c>
      <c r="C62" s="226" t="s">
        <v>1181</v>
      </c>
    </row>
    <row r="63" spans="1:3" x14ac:dyDescent="0.35">
      <c r="A63" s="220" t="s">
        <v>1146</v>
      </c>
      <c r="B63" s="226" t="s">
        <v>1182</v>
      </c>
      <c r="C63" s="226" t="s">
        <v>1183</v>
      </c>
    </row>
    <row r="64" spans="1:3" x14ac:dyDescent="0.35">
      <c r="A64" s="220" t="s">
        <v>1146</v>
      </c>
      <c r="B64" s="226" t="s">
        <v>1184</v>
      </c>
      <c r="C64" s="226" t="s">
        <v>1185</v>
      </c>
    </row>
    <row r="65" spans="1:3" x14ac:dyDescent="0.35">
      <c r="A65" s="220" t="s">
        <v>1146</v>
      </c>
      <c r="B65" s="226" t="s">
        <v>1186</v>
      </c>
      <c r="C65" s="226" t="s">
        <v>1187</v>
      </c>
    </row>
    <row r="66" spans="1:3" x14ac:dyDescent="0.35">
      <c r="A66" s="220" t="s">
        <v>1146</v>
      </c>
      <c r="B66" s="226" t="s">
        <v>1188</v>
      </c>
      <c r="C66" s="226" t="s">
        <v>1189</v>
      </c>
    </row>
    <row r="67" spans="1:3" x14ac:dyDescent="0.35">
      <c r="A67" s="220" t="s">
        <v>1146</v>
      </c>
      <c r="B67" s="226" t="s">
        <v>1190</v>
      </c>
      <c r="C67" s="226" t="s">
        <v>1191</v>
      </c>
    </row>
    <row r="68" spans="1:3" x14ac:dyDescent="0.35">
      <c r="A68" s="220" t="s">
        <v>1146</v>
      </c>
      <c r="B68" s="226" t="s">
        <v>1192</v>
      </c>
      <c r="C68" s="226" t="s">
        <v>1193</v>
      </c>
    </row>
    <row r="69" spans="1:3" x14ac:dyDescent="0.35">
      <c r="A69" s="220" t="s">
        <v>1146</v>
      </c>
      <c r="B69" s="226" t="s">
        <v>1194</v>
      </c>
      <c r="C69" s="226" t="s">
        <v>1195</v>
      </c>
    </row>
    <row r="70" spans="1:3" x14ac:dyDescent="0.35">
      <c r="A70" s="220" t="s">
        <v>1146</v>
      </c>
      <c r="B70" s="226" t="s">
        <v>1196</v>
      </c>
      <c r="C70" s="226" t="s">
        <v>1197</v>
      </c>
    </row>
    <row r="71" spans="1:3" x14ac:dyDescent="0.35">
      <c r="A71" s="220" t="s">
        <v>1146</v>
      </c>
      <c r="B71" s="226" t="s">
        <v>1198</v>
      </c>
      <c r="C71" s="226" t="s">
        <v>1199</v>
      </c>
    </row>
    <row r="72" spans="1:3" x14ac:dyDescent="0.35">
      <c r="A72" s="220" t="s">
        <v>1146</v>
      </c>
      <c r="B72" s="226" t="s">
        <v>279</v>
      </c>
      <c r="C72" s="226" t="s">
        <v>1200</v>
      </c>
    </row>
    <row r="73" spans="1:3" x14ac:dyDescent="0.35">
      <c r="A73" s="220" t="s">
        <v>1146</v>
      </c>
      <c r="B73" s="226" t="s">
        <v>1201</v>
      </c>
      <c r="C73" s="226" t="s">
        <v>1202</v>
      </c>
    </row>
    <row r="74" spans="1:3" x14ac:dyDescent="0.35">
      <c r="A74" s="220" t="s">
        <v>1146</v>
      </c>
      <c r="B74" s="226" t="s">
        <v>1203</v>
      </c>
      <c r="C74" s="226" t="s">
        <v>1204</v>
      </c>
    </row>
    <row r="75" spans="1:3" x14ac:dyDescent="0.35">
      <c r="A75" s="220" t="s">
        <v>1146</v>
      </c>
      <c r="B75" s="226" t="s">
        <v>1205</v>
      </c>
      <c r="C75" s="226" t="s">
        <v>1206</v>
      </c>
    </row>
    <row r="76" spans="1:3" x14ac:dyDescent="0.35">
      <c r="A76" s="220" t="s">
        <v>1146</v>
      </c>
      <c r="B76" s="226" t="s">
        <v>1207</v>
      </c>
      <c r="C76" s="226" t="s">
        <v>1208</v>
      </c>
    </row>
    <row r="77" spans="1:3" x14ac:dyDescent="0.35">
      <c r="A77" s="220" t="s">
        <v>1146</v>
      </c>
      <c r="B77" s="226" t="s">
        <v>1209</v>
      </c>
      <c r="C77" s="226" t="s">
        <v>1210</v>
      </c>
    </row>
  </sheetData>
  <mergeCells count="5">
    <mergeCell ref="C32:C33"/>
    <mergeCell ref="A5:A6"/>
    <mergeCell ref="B5:B6"/>
    <mergeCell ref="C19:C20"/>
    <mergeCell ref="C24:C25"/>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DD78C-BB04-4E3F-ABE7-9C6AAFD044A0}">
  <sheetPr>
    <tabColor rgb="FFFFFF00"/>
  </sheetPr>
  <dimension ref="A1:E139"/>
  <sheetViews>
    <sheetView zoomScale="115" zoomScaleNormal="115" workbookViewId="0">
      <selection activeCell="A27" sqref="A27"/>
    </sheetView>
  </sheetViews>
  <sheetFormatPr defaultColWidth="9.26953125" defaultRowHeight="11.5" x14ac:dyDescent="0.25"/>
  <cols>
    <col min="1" max="1" width="48.26953125" style="248" customWidth="1"/>
    <col min="2" max="2" width="25" style="248" bestFit="1" customWidth="1"/>
    <col min="3" max="3" width="12.7265625" style="248" bestFit="1" customWidth="1"/>
    <col min="4" max="4" width="25" style="248" bestFit="1" customWidth="1"/>
    <col min="5" max="5" width="27" style="248" bestFit="1" customWidth="1"/>
    <col min="6" max="16384" width="9.26953125" style="248"/>
  </cols>
  <sheetData>
    <row r="1" spans="1:5" x14ac:dyDescent="0.25">
      <c r="A1" s="247" t="s">
        <v>1264</v>
      </c>
    </row>
    <row r="3" spans="1:5" x14ac:dyDescent="0.25">
      <c r="A3" s="251" t="s">
        <v>1211</v>
      </c>
      <c r="B3" s="251" t="s">
        <v>1212</v>
      </c>
      <c r="C3" s="251" t="s">
        <v>1213</v>
      </c>
      <c r="D3" s="251" t="s">
        <v>1214</v>
      </c>
      <c r="E3" s="251" t="s">
        <v>1215</v>
      </c>
    </row>
    <row r="4" spans="1:5" x14ac:dyDescent="0.25">
      <c r="A4" s="249" t="s">
        <v>1216</v>
      </c>
      <c r="B4" s="249" t="s">
        <v>1217</v>
      </c>
      <c r="C4" s="249" t="s">
        <v>1218</v>
      </c>
      <c r="D4" s="249" t="s">
        <v>1219</v>
      </c>
      <c r="E4" s="249">
        <v>70</v>
      </c>
    </row>
    <row r="5" spans="1:5" x14ac:dyDescent="0.25">
      <c r="A5" s="249" t="s">
        <v>1220</v>
      </c>
      <c r="B5" s="249" t="s">
        <v>1221</v>
      </c>
      <c r="C5" s="249" t="s">
        <v>1222</v>
      </c>
      <c r="D5" s="249" t="s">
        <v>1219</v>
      </c>
      <c r="E5" s="249">
        <v>40</v>
      </c>
    </row>
    <row r="6" spans="1:5" x14ac:dyDescent="0.25">
      <c r="A6" s="249" t="s">
        <v>1223</v>
      </c>
      <c r="B6" s="249" t="s">
        <v>1224</v>
      </c>
      <c r="C6" s="249" t="s">
        <v>1222</v>
      </c>
      <c r="D6" s="249" t="s">
        <v>1219</v>
      </c>
      <c r="E6" s="249">
        <v>24</v>
      </c>
    </row>
    <row r="7" spans="1:5" x14ac:dyDescent="0.25">
      <c r="A7" s="249" t="s">
        <v>1225</v>
      </c>
      <c r="B7" s="249" t="s">
        <v>1226</v>
      </c>
      <c r="C7" s="249" t="s">
        <v>1227</v>
      </c>
      <c r="D7" s="249" t="s">
        <v>1219</v>
      </c>
      <c r="E7" s="249">
        <v>50</v>
      </c>
    </row>
    <row r="8" spans="1:5" x14ac:dyDescent="0.25">
      <c r="A8" s="249" t="s">
        <v>1228</v>
      </c>
      <c r="B8" s="249" t="s">
        <v>1229</v>
      </c>
      <c r="C8" s="249" t="s">
        <v>1230</v>
      </c>
      <c r="D8" s="249">
        <v>4.0999999999999996</v>
      </c>
      <c r="E8" s="249">
        <v>34</v>
      </c>
    </row>
    <row r="9" spans="1:5" x14ac:dyDescent="0.25">
      <c r="A9" s="249" t="s">
        <v>1231</v>
      </c>
      <c r="B9" s="249" t="s">
        <v>1232</v>
      </c>
      <c r="C9" s="249" t="s">
        <v>1233</v>
      </c>
      <c r="D9" s="249">
        <v>10</v>
      </c>
      <c r="E9" s="249" t="s">
        <v>1219</v>
      </c>
    </row>
    <row r="10" spans="1:5" x14ac:dyDescent="0.25">
      <c r="A10" s="249" t="s">
        <v>1234</v>
      </c>
      <c r="B10" s="249" t="s">
        <v>1235</v>
      </c>
      <c r="C10" s="249" t="s">
        <v>1233</v>
      </c>
      <c r="D10" s="249" t="s">
        <v>1219</v>
      </c>
      <c r="E10" s="249" t="s">
        <v>1219</v>
      </c>
    </row>
    <row r="11" spans="1:5" x14ac:dyDescent="0.25">
      <c r="A11" s="249" t="s">
        <v>1236</v>
      </c>
      <c r="B11" s="249" t="s">
        <v>1237</v>
      </c>
      <c r="C11" s="249" t="s">
        <v>1238</v>
      </c>
      <c r="D11" s="249" t="s">
        <v>1219</v>
      </c>
      <c r="E11" s="249">
        <v>13</v>
      </c>
    </row>
    <row r="12" spans="1:5" x14ac:dyDescent="0.25">
      <c r="A12" s="249" t="s">
        <v>1239</v>
      </c>
      <c r="B12" s="249" t="s">
        <v>1240</v>
      </c>
      <c r="C12" s="249" t="s">
        <v>1238</v>
      </c>
      <c r="D12" s="249" t="s">
        <v>1219</v>
      </c>
      <c r="E12" s="249">
        <v>16</v>
      </c>
    </row>
    <row r="13" spans="1:5" x14ac:dyDescent="0.25">
      <c r="A13" s="249" t="s">
        <v>1241</v>
      </c>
      <c r="B13" s="249" t="s">
        <v>1242</v>
      </c>
      <c r="C13" s="249" t="s">
        <v>1233</v>
      </c>
      <c r="D13" s="249">
        <v>9</v>
      </c>
      <c r="E13" s="249" t="s">
        <v>1219</v>
      </c>
    </row>
    <row r="14" spans="1:5" x14ac:dyDescent="0.25">
      <c r="A14" s="249" t="s">
        <v>1243</v>
      </c>
      <c r="B14" s="249"/>
      <c r="C14" s="249" t="s">
        <v>1244</v>
      </c>
      <c r="D14" s="249"/>
      <c r="E14" s="249"/>
    </row>
    <row r="15" spans="1:5" x14ac:dyDescent="0.25">
      <c r="A15" s="249" t="s">
        <v>1245</v>
      </c>
      <c r="B15" s="249"/>
      <c r="C15" s="249" t="s">
        <v>1246</v>
      </c>
      <c r="D15" s="249"/>
      <c r="E15" s="249"/>
    </row>
    <row r="16" spans="1:5" x14ac:dyDescent="0.25">
      <c r="A16" s="249" t="s">
        <v>1247</v>
      </c>
      <c r="B16" s="249"/>
      <c r="C16" s="249" t="s">
        <v>1246</v>
      </c>
      <c r="D16" s="249"/>
      <c r="E16" s="249"/>
    </row>
    <row r="17" spans="1:5" x14ac:dyDescent="0.25">
      <c r="A17" s="249" t="s">
        <v>1248</v>
      </c>
      <c r="B17" s="249"/>
      <c r="C17" s="249" t="s">
        <v>1249</v>
      </c>
      <c r="D17" s="249"/>
      <c r="E17" s="249"/>
    </row>
    <row r="18" spans="1:5" x14ac:dyDescent="0.25">
      <c r="A18" s="249" t="s">
        <v>1250</v>
      </c>
      <c r="B18" s="249"/>
      <c r="C18" s="249" t="s">
        <v>1251</v>
      </c>
      <c r="D18" s="249"/>
      <c r="E18" s="249"/>
    </row>
    <row r="19" spans="1:5" x14ac:dyDescent="0.25">
      <c r="A19" s="249" t="s">
        <v>1252</v>
      </c>
      <c r="B19" s="249"/>
      <c r="C19" s="249" t="s">
        <v>1253</v>
      </c>
      <c r="D19" s="249"/>
      <c r="E19" s="249"/>
    </row>
    <row r="20" spans="1:5" x14ac:dyDescent="0.25">
      <c r="A20" s="249" t="s">
        <v>1254</v>
      </c>
      <c r="B20" s="249"/>
      <c r="C20" s="249" t="s">
        <v>1230</v>
      </c>
      <c r="D20" s="249"/>
      <c r="E20" s="249"/>
    </row>
    <row r="21" spans="1:5" x14ac:dyDescent="0.25">
      <c r="A21" s="249" t="s">
        <v>1255</v>
      </c>
      <c r="B21" s="249"/>
      <c r="C21" s="249" t="s">
        <v>1227</v>
      </c>
      <c r="D21" s="249"/>
      <c r="E21" s="249"/>
    </row>
    <row r="22" spans="1:5" x14ac:dyDescent="0.25">
      <c r="A22" s="249" t="s">
        <v>1256</v>
      </c>
      <c r="B22" s="249"/>
      <c r="C22" s="249" t="s">
        <v>1257</v>
      </c>
      <c r="D22" s="249"/>
      <c r="E22" s="249"/>
    </row>
    <row r="23" spans="1:5" x14ac:dyDescent="0.25">
      <c r="A23" s="249" t="s">
        <v>1258</v>
      </c>
      <c r="B23" s="249"/>
      <c r="C23" s="249" t="s">
        <v>1249</v>
      </c>
      <c r="D23" s="249"/>
      <c r="E23" s="249"/>
    </row>
    <row r="24" spans="1:5" x14ac:dyDescent="0.25">
      <c r="A24" s="249" t="s">
        <v>1259</v>
      </c>
      <c r="B24" s="249"/>
      <c r="C24" s="249" t="s">
        <v>1222</v>
      </c>
      <c r="D24" s="249"/>
      <c r="E24" s="249"/>
    </row>
    <row r="25" spans="1:5" x14ac:dyDescent="0.25">
      <c r="A25" s="249" t="s">
        <v>1260</v>
      </c>
      <c r="B25" s="249"/>
      <c r="C25" s="249" t="s">
        <v>1227</v>
      </c>
      <c r="D25" s="249"/>
      <c r="E25" s="249"/>
    </row>
    <row r="26" spans="1:5" x14ac:dyDescent="0.25">
      <c r="A26" s="249" t="s">
        <v>1261</v>
      </c>
      <c r="B26" s="249"/>
      <c r="C26" s="249" t="s">
        <v>1262</v>
      </c>
      <c r="D26" s="249"/>
      <c r="E26" s="249"/>
    </row>
    <row r="38" spans="1:3" x14ac:dyDescent="0.25">
      <c r="A38" s="800"/>
      <c r="B38" s="801"/>
      <c r="C38" s="801"/>
    </row>
    <row r="39" spans="1:3" x14ac:dyDescent="0.25">
      <c r="A39" s="245"/>
      <c r="B39" s="245"/>
      <c r="C39" s="245"/>
    </row>
    <row r="40" spans="1:3" x14ac:dyDescent="0.25">
      <c r="A40" s="250"/>
      <c r="B40" s="246"/>
      <c r="C40" s="246"/>
    </row>
    <row r="41" spans="1:3" x14ac:dyDescent="0.25">
      <c r="A41" s="250"/>
      <c r="B41" s="246"/>
      <c r="C41" s="246"/>
    </row>
    <row r="42" spans="1:3" x14ac:dyDescent="0.25">
      <c r="A42" s="250"/>
      <c r="B42" s="246"/>
      <c r="C42" s="246"/>
    </row>
    <row r="43" spans="1:3" x14ac:dyDescent="0.25">
      <c r="A43" s="250"/>
      <c r="B43" s="246"/>
      <c r="C43" s="246"/>
    </row>
    <row r="44" spans="1:3" x14ac:dyDescent="0.25">
      <c r="A44" s="246"/>
      <c r="B44" s="246"/>
      <c r="C44" s="246"/>
    </row>
    <row r="45" spans="1:3" x14ac:dyDescent="0.25">
      <c r="A45" s="250"/>
      <c r="B45" s="246"/>
      <c r="C45" s="246"/>
    </row>
    <row r="46" spans="1:3" x14ac:dyDescent="0.25">
      <c r="A46" s="246"/>
      <c r="B46" s="246"/>
      <c r="C46" s="246"/>
    </row>
    <row r="47" spans="1:3" x14ac:dyDescent="0.25">
      <c r="A47" s="250"/>
      <c r="B47" s="246"/>
      <c r="C47" s="246"/>
    </row>
    <row r="48" spans="1:3" x14ac:dyDescent="0.25">
      <c r="A48" s="246"/>
      <c r="B48" s="246"/>
      <c r="C48" s="246"/>
    </row>
    <row r="49" spans="1:3" x14ac:dyDescent="0.25">
      <c r="A49" s="250"/>
      <c r="B49" s="246"/>
      <c r="C49" s="246"/>
    </row>
    <row r="50" spans="1:3" x14ac:dyDescent="0.25">
      <c r="A50" s="250"/>
      <c r="B50" s="246"/>
      <c r="C50" s="246"/>
    </row>
    <row r="51" spans="1:3" x14ac:dyDescent="0.25">
      <c r="A51" s="250"/>
      <c r="B51" s="246"/>
      <c r="C51" s="246"/>
    </row>
    <row r="52" spans="1:3" x14ac:dyDescent="0.25">
      <c r="A52" s="250"/>
      <c r="B52" s="246"/>
      <c r="C52" s="246"/>
    </row>
    <row r="53" spans="1:3" x14ac:dyDescent="0.25">
      <c r="A53" s="250"/>
      <c r="B53" s="246"/>
      <c r="C53" s="246"/>
    </row>
    <row r="54" spans="1:3" x14ac:dyDescent="0.25">
      <c r="A54" s="250"/>
      <c r="B54" s="246"/>
      <c r="C54" s="246"/>
    </row>
    <row r="55" spans="1:3" x14ac:dyDescent="0.25">
      <c r="A55" s="250"/>
      <c r="B55" s="246"/>
      <c r="C55" s="246"/>
    </row>
    <row r="56" spans="1:3" x14ac:dyDescent="0.25">
      <c r="A56" s="250"/>
      <c r="B56" s="246"/>
      <c r="C56" s="246"/>
    </row>
    <row r="57" spans="1:3" x14ac:dyDescent="0.25">
      <c r="A57" s="250"/>
      <c r="B57" s="246"/>
      <c r="C57" s="246"/>
    </row>
    <row r="58" spans="1:3" x14ac:dyDescent="0.25">
      <c r="A58" s="250"/>
      <c r="B58" s="246"/>
      <c r="C58" s="246"/>
    </row>
    <row r="59" spans="1:3" x14ac:dyDescent="0.25">
      <c r="A59" s="250"/>
      <c r="B59" s="246"/>
      <c r="C59" s="246"/>
    </row>
    <row r="60" spans="1:3" x14ac:dyDescent="0.25">
      <c r="A60" s="250"/>
      <c r="B60" s="246"/>
      <c r="C60" s="246"/>
    </row>
    <row r="61" spans="1:3" x14ac:dyDescent="0.25">
      <c r="A61" s="250"/>
      <c r="B61" s="246"/>
      <c r="C61" s="246"/>
    </row>
    <row r="62" spans="1:3" x14ac:dyDescent="0.25">
      <c r="A62" s="250"/>
      <c r="B62" s="246"/>
      <c r="C62" s="246"/>
    </row>
    <row r="63" spans="1:3" x14ac:dyDescent="0.25">
      <c r="A63" s="250"/>
      <c r="B63" s="246"/>
      <c r="C63" s="246"/>
    </row>
    <row r="64" spans="1:3" x14ac:dyDescent="0.25">
      <c r="A64" s="246"/>
      <c r="B64" s="246"/>
      <c r="C64" s="246"/>
    </row>
    <row r="65" spans="1:3" x14ac:dyDescent="0.25">
      <c r="A65" s="246"/>
      <c r="B65" s="246"/>
      <c r="C65" s="246"/>
    </row>
    <row r="66" spans="1:3" x14ac:dyDescent="0.25">
      <c r="A66" s="250"/>
      <c r="B66" s="246"/>
      <c r="C66" s="246"/>
    </row>
    <row r="67" spans="1:3" x14ac:dyDescent="0.25">
      <c r="A67" s="250"/>
      <c r="B67" s="246"/>
      <c r="C67" s="246"/>
    </row>
    <row r="68" spans="1:3" x14ac:dyDescent="0.25">
      <c r="A68" s="246"/>
      <c r="B68" s="246"/>
      <c r="C68" s="246"/>
    </row>
    <row r="69" spans="1:3" x14ac:dyDescent="0.25">
      <c r="A69" s="250"/>
      <c r="B69" s="246"/>
      <c r="C69" s="246"/>
    </row>
    <row r="70" spans="1:3" x14ac:dyDescent="0.25">
      <c r="A70" s="246"/>
      <c r="B70" s="246"/>
      <c r="C70" s="246"/>
    </row>
    <row r="71" spans="1:3" x14ac:dyDescent="0.25">
      <c r="A71" s="250"/>
      <c r="B71" s="246"/>
      <c r="C71" s="246"/>
    </row>
    <row r="72" spans="1:3" x14ac:dyDescent="0.25">
      <c r="A72" s="250"/>
      <c r="B72" s="246"/>
      <c r="C72" s="246"/>
    </row>
    <row r="73" spans="1:3" x14ac:dyDescent="0.25">
      <c r="A73" s="250"/>
      <c r="B73" s="246"/>
      <c r="C73" s="246"/>
    </row>
    <row r="74" spans="1:3" x14ac:dyDescent="0.25">
      <c r="A74" s="250"/>
      <c r="B74" s="246"/>
      <c r="C74" s="246"/>
    </row>
    <row r="75" spans="1:3" x14ac:dyDescent="0.25">
      <c r="A75" s="246"/>
      <c r="B75" s="246"/>
      <c r="C75" s="246"/>
    </row>
    <row r="76" spans="1:3" x14ac:dyDescent="0.25">
      <c r="A76" s="250"/>
      <c r="B76" s="246"/>
      <c r="C76" s="246"/>
    </row>
    <row r="77" spans="1:3" x14ac:dyDescent="0.25">
      <c r="A77" s="250"/>
      <c r="B77" s="246"/>
      <c r="C77" s="246"/>
    </row>
    <row r="78" spans="1:3" x14ac:dyDescent="0.25">
      <c r="A78" s="250"/>
      <c r="B78" s="246"/>
      <c r="C78" s="246"/>
    </row>
    <row r="79" spans="1:3" x14ac:dyDescent="0.25">
      <c r="A79" s="250"/>
      <c r="B79" s="246"/>
      <c r="C79" s="246"/>
    </row>
    <row r="80" spans="1:3" x14ac:dyDescent="0.25">
      <c r="A80" s="250"/>
      <c r="B80" s="246"/>
      <c r="C80" s="246"/>
    </row>
    <row r="81" spans="1:3" x14ac:dyDescent="0.25">
      <c r="A81" s="246"/>
      <c r="B81" s="246"/>
      <c r="C81" s="246"/>
    </row>
    <row r="82" spans="1:3" x14ac:dyDescent="0.25">
      <c r="A82" s="250"/>
      <c r="B82" s="246"/>
      <c r="C82" s="246"/>
    </row>
    <row r="83" spans="1:3" x14ac:dyDescent="0.25">
      <c r="A83" s="250"/>
      <c r="B83" s="246"/>
      <c r="C83" s="246"/>
    </row>
    <row r="84" spans="1:3" x14ac:dyDescent="0.25">
      <c r="A84" s="250"/>
      <c r="B84" s="246"/>
      <c r="C84" s="246"/>
    </row>
    <row r="85" spans="1:3" x14ac:dyDescent="0.25">
      <c r="A85" s="250"/>
      <c r="B85" s="246"/>
      <c r="C85" s="246"/>
    </row>
    <row r="86" spans="1:3" x14ac:dyDescent="0.25">
      <c r="A86" s="250"/>
      <c r="B86" s="246"/>
      <c r="C86" s="246"/>
    </row>
    <row r="87" spans="1:3" x14ac:dyDescent="0.25">
      <c r="A87" s="250"/>
      <c r="B87" s="246"/>
      <c r="C87" s="246"/>
    </row>
    <row r="88" spans="1:3" x14ac:dyDescent="0.25">
      <c r="A88" s="250"/>
      <c r="B88" s="246"/>
      <c r="C88" s="246"/>
    </row>
    <row r="89" spans="1:3" x14ac:dyDescent="0.25">
      <c r="A89" s="250"/>
      <c r="B89" s="246"/>
      <c r="C89" s="246"/>
    </row>
    <row r="90" spans="1:3" x14ac:dyDescent="0.25">
      <c r="A90" s="250"/>
      <c r="B90" s="246"/>
      <c r="C90" s="246"/>
    </row>
    <row r="91" spans="1:3" x14ac:dyDescent="0.25">
      <c r="A91" s="246"/>
      <c r="B91" s="246"/>
      <c r="C91" s="246"/>
    </row>
    <row r="92" spans="1:3" x14ac:dyDescent="0.25">
      <c r="A92" s="246"/>
      <c r="B92" s="246"/>
      <c r="C92" s="246"/>
    </row>
    <row r="93" spans="1:3" x14ac:dyDescent="0.25">
      <c r="A93" s="250"/>
      <c r="B93" s="246"/>
      <c r="C93" s="246"/>
    </row>
    <row r="94" spans="1:3" x14ac:dyDescent="0.25">
      <c r="A94" s="250"/>
      <c r="B94" s="246"/>
      <c r="C94" s="246"/>
    </row>
    <row r="95" spans="1:3" x14ac:dyDescent="0.25">
      <c r="A95" s="250"/>
      <c r="B95" s="246"/>
      <c r="C95" s="246"/>
    </row>
    <row r="96" spans="1:3" x14ac:dyDescent="0.25">
      <c r="A96" s="250"/>
      <c r="B96" s="246"/>
      <c r="C96" s="246"/>
    </row>
    <row r="97" spans="1:3" x14ac:dyDescent="0.25">
      <c r="A97" s="246"/>
      <c r="B97" s="246"/>
      <c r="C97" s="246"/>
    </row>
    <row r="98" spans="1:3" x14ac:dyDescent="0.25">
      <c r="A98" s="250"/>
      <c r="B98" s="246"/>
      <c r="C98" s="246"/>
    </row>
    <row r="99" spans="1:3" x14ac:dyDescent="0.25">
      <c r="A99" s="246"/>
      <c r="B99" s="246"/>
      <c r="C99" s="246"/>
    </row>
    <row r="100" spans="1:3" x14ac:dyDescent="0.25">
      <c r="A100" s="250"/>
      <c r="B100" s="246"/>
      <c r="C100" s="246"/>
    </row>
    <row r="101" spans="1:3" x14ac:dyDescent="0.25">
      <c r="A101" s="246"/>
      <c r="B101" s="246"/>
      <c r="C101" s="246"/>
    </row>
    <row r="102" spans="1:3" x14ac:dyDescent="0.25">
      <c r="A102" s="250"/>
      <c r="B102" s="246"/>
      <c r="C102" s="246"/>
    </row>
    <row r="103" spans="1:3" x14ac:dyDescent="0.25">
      <c r="A103" s="250"/>
      <c r="B103" s="246"/>
      <c r="C103" s="246"/>
    </row>
    <row r="104" spans="1:3" x14ac:dyDescent="0.25">
      <c r="A104" s="250"/>
      <c r="B104" s="246"/>
      <c r="C104" s="246"/>
    </row>
    <row r="105" spans="1:3" x14ac:dyDescent="0.25">
      <c r="A105" s="246"/>
      <c r="B105" s="246"/>
      <c r="C105" s="246"/>
    </row>
    <row r="106" spans="1:3" x14ac:dyDescent="0.25">
      <c r="A106" s="250"/>
      <c r="B106" s="246"/>
      <c r="C106" s="246"/>
    </row>
    <row r="107" spans="1:3" x14ac:dyDescent="0.25">
      <c r="A107" s="246"/>
      <c r="B107" s="246"/>
      <c r="C107" s="246"/>
    </row>
    <row r="108" spans="1:3" x14ac:dyDescent="0.25">
      <c r="A108" s="250"/>
      <c r="B108" s="246"/>
      <c r="C108" s="246"/>
    </row>
    <row r="109" spans="1:3" x14ac:dyDescent="0.25">
      <c r="A109" s="250"/>
      <c r="B109" s="246"/>
      <c r="C109" s="246"/>
    </row>
    <row r="110" spans="1:3" x14ac:dyDescent="0.25">
      <c r="A110" s="250"/>
      <c r="B110" s="246"/>
      <c r="C110" s="246"/>
    </row>
    <row r="111" spans="1:3" x14ac:dyDescent="0.25">
      <c r="A111" s="250"/>
      <c r="B111" s="246"/>
      <c r="C111" s="246"/>
    </row>
    <row r="112" spans="1:3" x14ac:dyDescent="0.25">
      <c r="A112" s="250"/>
      <c r="B112" s="246"/>
      <c r="C112" s="246"/>
    </row>
    <row r="113" spans="1:3" x14ac:dyDescent="0.25">
      <c r="A113" s="250"/>
      <c r="B113" s="246"/>
      <c r="C113" s="246"/>
    </row>
    <row r="114" spans="1:3" x14ac:dyDescent="0.25">
      <c r="A114" s="246"/>
      <c r="B114" s="246"/>
      <c r="C114" s="246"/>
    </row>
    <row r="115" spans="1:3" x14ac:dyDescent="0.25">
      <c r="A115" s="250"/>
      <c r="B115" s="246"/>
      <c r="C115" s="246"/>
    </row>
    <row r="116" spans="1:3" x14ac:dyDescent="0.25">
      <c r="A116" s="250"/>
      <c r="B116" s="246"/>
      <c r="C116" s="246"/>
    </row>
    <row r="117" spans="1:3" x14ac:dyDescent="0.25">
      <c r="A117" s="250"/>
      <c r="B117" s="246"/>
      <c r="C117" s="246"/>
    </row>
    <row r="118" spans="1:3" x14ac:dyDescent="0.25">
      <c r="A118" s="250"/>
      <c r="B118" s="246"/>
      <c r="C118" s="246"/>
    </row>
    <row r="119" spans="1:3" x14ac:dyDescent="0.25">
      <c r="A119" s="246"/>
      <c r="B119" s="246"/>
      <c r="C119" s="246"/>
    </row>
    <row r="120" spans="1:3" x14ac:dyDescent="0.25">
      <c r="A120" s="246"/>
      <c r="B120" s="246"/>
      <c r="C120" s="246"/>
    </row>
    <row r="121" spans="1:3" x14ac:dyDescent="0.25">
      <c r="A121" s="250"/>
      <c r="B121" s="246"/>
      <c r="C121" s="246"/>
    </row>
    <row r="122" spans="1:3" x14ac:dyDescent="0.25">
      <c r="A122" s="250"/>
      <c r="B122" s="246"/>
      <c r="C122" s="246"/>
    </row>
    <row r="123" spans="1:3" x14ac:dyDescent="0.25">
      <c r="A123" s="250"/>
      <c r="B123" s="246"/>
      <c r="C123" s="246"/>
    </row>
    <row r="124" spans="1:3" x14ac:dyDescent="0.25">
      <c r="A124" s="246"/>
      <c r="B124" s="246"/>
      <c r="C124" s="246"/>
    </row>
    <row r="125" spans="1:3" x14ac:dyDescent="0.25">
      <c r="A125" s="250"/>
      <c r="B125" s="246"/>
      <c r="C125" s="246"/>
    </row>
    <row r="126" spans="1:3" x14ac:dyDescent="0.25">
      <c r="A126" s="250"/>
      <c r="B126" s="246"/>
      <c r="C126" s="246"/>
    </row>
    <row r="127" spans="1:3" x14ac:dyDescent="0.25">
      <c r="A127" s="246"/>
      <c r="B127" s="246"/>
      <c r="C127" s="246"/>
    </row>
    <row r="128" spans="1:3" x14ac:dyDescent="0.25">
      <c r="A128" s="250"/>
      <c r="B128" s="246"/>
      <c r="C128" s="246"/>
    </row>
    <row r="129" spans="1:3" x14ac:dyDescent="0.25">
      <c r="A129" s="250"/>
      <c r="B129" s="246"/>
      <c r="C129" s="246"/>
    </row>
    <row r="130" spans="1:3" x14ac:dyDescent="0.25">
      <c r="A130" s="250"/>
      <c r="B130" s="246"/>
      <c r="C130" s="246"/>
    </row>
    <row r="131" spans="1:3" x14ac:dyDescent="0.25">
      <c r="A131" s="250"/>
      <c r="B131" s="246"/>
      <c r="C131" s="246"/>
    </row>
    <row r="132" spans="1:3" x14ac:dyDescent="0.25">
      <c r="A132" s="250"/>
      <c r="B132" s="246"/>
      <c r="C132" s="246"/>
    </row>
    <row r="133" spans="1:3" x14ac:dyDescent="0.25">
      <c r="A133" s="250"/>
      <c r="B133" s="246"/>
      <c r="C133" s="246"/>
    </row>
    <row r="134" spans="1:3" x14ac:dyDescent="0.25">
      <c r="A134" s="250"/>
      <c r="B134" s="246"/>
      <c r="C134" s="246"/>
    </row>
    <row r="135" spans="1:3" x14ac:dyDescent="0.25">
      <c r="A135" s="250"/>
      <c r="B135" s="246"/>
      <c r="C135" s="246"/>
    </row>
    <row r="136" spans="1:3" x14ac:dyDescent="0.25">
      <c r="A136" s="250"/>
      <c r="B136" s="246"/>
      <c r="C136" s="246"/>
    </row>
    <row r="137" spans="1:3" x14ac:dyDescent="0.25">
      <c r="A137" s="250"/>
      <c r="B137" s="246"/>
      <c r="C137" s="246"/>
    </row>
    <row r="138" spans="1:3" x14ac:dyDescent="0.25">
      <c r="A138" s="250"/>
      <c r="B138" s="246"/>
      <c r="C138" s="246"/>
    </row>
    <row r="139" spans="1:3" x14ac:dyDescent="0.25">
      <c r="A139" s="250"/>
      <c r="B139" s="246"/>
      <c r="C139" s="246"/>
    </row>
  </sheetData>
  <sortState xmlns:xlrd2="http://schemas.microsoft.com/office/spreadsheetml/2017/richdata2" ref="A14:A26">
    <sortCondition ref="A14:A26"/>
  </sortState>
  <mergeCells count="1">
    <mergeCell ref="A38:C38"/>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5FE79-A68C-4C63-AE85-5235162CE87C}">
  <dimension ref="A1:A8"/>
  <sheetViews>
    <sheetView workbookViewId="0">
      <selection activeCell="F9" sqref="F9"/>
    </sheetView>
  </sheetViews>
  <sheetFormatPr defaultRowHeight="14.5" x14ac:dyDescent="0.35"/>
  <sheetData>
    <row r="1" spans="1:1" x14ac:dyDescent="0.35">
      <c r="A1" t="s">
        <v>27</v>
      </c>
    </row>
    <row r="2" spans="1:1" x14ac:dyDescent="0.35">
      <c r="A2" t="s">
        <v>27</v>
      </c>
    </row>
    <row r="3" spans="1:1" x14ac:dyDescent="0.35">
      <c r="A3" t="s">
        <v>27</v>
      </c>
    </row>
    <row r="4" spans="1:1" x14ac:dyDescent="0.35">
      <c r="A4" t="s">
        <v>28</v>
      </c>
    </row>
    <row r="5" spans="1:1" x14ac:dyDescent="0.35">
      <c r="A5" t="s">
        <v>26</v>
      </c>
    </row>
    <row r="6" spans="1:1" ht="15.75" customHeight="1" x14ac:dyDescent="0.35">
      <c r="A6" t="s">
        <v>26</v>
      </c>
    </row>
    <row r="7" spans="1:1" ht="15.75" customHeight="1" x14ac:dyDescent="0.35">
      <c r="A7" t="s">
        <v>26</v>
      </c>
    </row>
    <row r="8" spans="1:1" x14ac:dyDescent="0.35">
      <c r="A8" t="s">
        <v>27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7B6260F787B4942AAE82A4029590BD8" ma:contentTypeVersion="4" ma:contentTypeDescription="Create a new document." ma:contentTypeScope="" ma:versionID="d3d6c6cf1295248139200a51c4a5ec23">
  <xsd:schema xmlns:xsd="http://www.w3.org/2001/XMLSchema" xmlns:xs="http://www.w3.org/2001/XMLSchema" xmlns:p="http://schemas.microsoft.com/office/2006/metadata/properties" xmlns:ns2="12705631-dc2a-4eec-bd73-75b6cda07fec" targetNamespace="http://schemas.microsoft.com/office/2006/metadata/properties" ma:root="true" ma:fieldsID="9549d69ea0ed6b56c88f1afc840da31c" ns2:_="">
    <xsd:import namespace="12705631-dc2a-4eec-bd73-75b6cda07fe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705631-dc2a-4eec-bd73-75b6cda07fe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2490EC8-EE6E-45F4-A334-C2FA3786A111}">
  <ds:schemaRefs>
    <ds:schemaRef ds:uri="http://schemas.microsoft.com/sharepoint/v3/contenttype/forms"/>
  </ds:schemaRefs>
</ds:datastoreItem>
</file>

<file path=customXml/itemProps2.xml><?xml version="1.0" encoding="utf-8"?>
<ds:datastoreItem xmlns:ds="http://schemas.openxmlformats.org/officeDocument/2006/customXml" ds:itemID="{76406CD9-542C-4A08-B16F-127C3DDD95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705631-dc2a-4eec-bd73-75b6cda07f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E2D2302-4F67-4065-BDD4-F27C239F7EA1}">
  <ds:schemaRefs>
    <ds:schemaRef ds:uri="http://schemas.microsoft.com/office/2006/documentManagement/types"/>
    <ds:schemaRef ds:uri="http://www.w3.org/XML/1998/namespace"/>
    <ds:schemaRef ds:uri="http://purl.org/dc/elements/1.1/"/>
    <ds:schemaRef ds:uri="http://purl.org/dc/terms/"/>
    <ds:schemaRef ds:uri="http://schemas.microsoft.com/office/2006/metadata/properties"/>
    <ds:schemaRef ds:uri="http://schemas.microsoft.com/office/infopath/2007/PartnerControls"/>
    <ds:schemaRef ds:uri="http://schemas.openxmlformats.org/package/2006/metadata/core-properties"/>
    <ds:schemaRef ds:uri="12705631-dc2a-4eec-bd73-75b6cda07fec"/>
    <ds:schemaRef ds:uri="http://purl.org/dc/dcmitype/"/>
  </ds:schemaRefs>
</ds:datastoreItem>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26</vt:i4>
      </vt:variant>
    </vt:vector>
  </HeadingPairs>
  <TitlesOfParts>
    <vt:vector size="26" baseType="lpstr">
      <vt:lpstr>Response Guidlines</vt:lpstr>
      <vt:lpstr>Gate keepers</vt:lpstr>
      <vt:lpstr>Scoring Summary</vt:lpstr>
      <vt:lpstr>Key Requirements</vt:lpstr>
      <vt:lpstr>Project Management</vt:lpstr>
      <vt:lpstr>Functional - VW</vt:lpstr>
      <vt:lpstr>Functional - VW - BK</vt:lpstr>
      <vt:lpstr>Functional - CET</vt:lpstr>
      <vt:lpstr>Non-Functional</vt:lpstr>
      <vt:lpstr>Functional - CET opt 2</vt:lpstr>
      <vt:lpstr>Integration</vt:lpstr>
      <vt:lpstr>Testing</vt:lpstr>
      <vt:lpstr>Security</vt:lpstr>
      <vt:lpstr>SEC - Sheet1</vt:lpstr>
      <vt:lpstr>Architecture</vt:lpstr>
      <vt:lpstr>Cloud</vt:lpstr>
      <vt:lpstr>Cloud - 20241008 with errors</vt:lpstr>
      <vt:lpstr>Demo - VW</vt:lpstr>
      <vt:lpstr>Demo - CET old - 20250205</vt:lpstr>
      <vt:lpstr>Demo - CET - old</vt:lpstr>
      <vt:lpstr>Demo - CET options 1 &amp; 2</vt:lpstr>
      <vt:lpstr>Demo - CET options 3 &amp; 4</vt:lpstr>
      <vt:lpstr>Demo - CET</vt:lpstr>
      <vt:lpstr>Definitions and Abbreviations</vt:lpstr>
      <vt:lpstr>Top energy providers</vt:lpstr>
      <vt:lpstr>Sheet2</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Leon Jean-Louis</dc:creator>
  <cp:keywords/>
  <dc:description/>
  <cp:lastModifiedBy>Naledi Lekoto</cp:lastModifiedBy>
  <cp:revision/>
  <dcterms:created xsi:type="dcterms:W3CDTF">2024-04-23T18:05:00Z</dcterms:created>
  <dcterms:modified xsi:type="dcterms:W3CDTF">2025-05-09T08:00:19Z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0x01010057B6260F787B4942AAE82A4029590BD8</vt:lpwstr>
  </property>
</Properties>
</file>