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siphiwe_kubheka_prasa_com/Documents/Documents/SECURITY 2023/ADVERT DOCUMENTS/"/>
    </mc:Choice>
  </mc:AlternateContent>
  <xr:revisionPtr revIDLastSave="3" documentId="8_{69DC1855-FE1F-4D72-9BB5-5602E7AD88F0}" xr6:coauthVersionLast="47" xr6:coauthVersionMax="47" xr10:uidLastSave="{A9DC565A-0125-4C70-81B0-768EF22AB67A}"/>
  <bookViews>
    <workbookView xWindow="-110" yWindow="-110" windowWidth="19420" windowHeight="10300" firstSheet="8" activeTab="4" xr2:uid="{00000000-000D-0000-FFFF-FFFF00000000}"/>
  </bookViews>
  <sheets>
    <sheet name="Corridors" sheetId="1" state="hidden" r:id="rId1"/>
    <sheet name="Current" sheetId="4" state="hidden" r:id="rId2"/>
    <sheet name="7% Increase" sheetId="5" state="hidden" r:id="rId3"/>
    <sheet name="Envisaged Open Tender" sheetId="6" state="hidden" r:id="rId4"/>
    <sheet name="WP-1-GW" sheetId="10" r:id="rId5"/>
    <sheet name="WP-2-GE" sheetId="9" r:id="rId6"/>
    <sheet name="WP-3 GN" sheetId="8" r:id="rId7"/>
    <sheet name="WP-4-WC" sheetId="11" r:id="rId8"/>
    <sheet name="WP-5-KZN" sheetId="12" r:id="rId9"/>
    <sheet name="WP-6-EC" sheetId="13" r:id="rId10"/>
    <sheet name="WP-7-MLPS" sheetId="14" r:id="rId11"/>
    <sheet name="WP-8-Ad-hoc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5" l="1"/>
  <c r="H7" i="15"/>
  <c r="H8" i="15"/>
  <c r="H9" i="15"/>
  <c r="H10" i="15"/>
  <c r="H11" i="15"/>
  <c r="H12" i="15"/>
  <c r="H13" i="15"/>
  <c r="H14" i="15"/>
  <c r="H15" i="15"/>
  <c r="H5" i="15"/>
  <c r="E5" i="15"/>
  <c r="E15" i="15"/>
  <c r="E14" i="15"/>
  <c r="E13" i="15"/>
  <c r="E12" i="15"/>
  <c r="E11" i="15"/>
  <c r="E10" i="15"/>
  <c r="E8" i="15"/>
  <c r="A8" i="15"/>
  <c r="A7" i="15"/>
  <c r="A10" i="15" s="1"/>
  <c r="A12" i="15" s="1"/>
  <c r="A13" i="15" s="1"/>
  <c r="A14" i="15" s="1"/>
  <c r="A15" i="15" s="1"/>
  <c r="E6" i="15"/>
  <c r="G9" i="14"/>
  <c r="F9" i="14"/>
  <c r="E8" i="14"/>
  <c r="E7" i="14"/>
  <c r="E6" i="14"/>
  <c r="B6" i="14"/>
  <c r="B7" i="14" s="1"/>
  <c r="B8" i="14" s="1"/>
  <c r="E5" i="14"/>
  <c r="E9" i="14" s="1"/>
  <c r="G7" i="13"/>
  <c r="F7" i="13"/>
  <c r="E6" i="13"/>
  <c r="B6" i="13"/>
  <c r="E5" i="13"/>
  <c r="G7" i="12"/>
  <c r="F7" i="12"/>
  <c r="E6" i="12"/>
  <c r="B6" i="12"/>
  <c r="E5" i="12"/>
  <c r="E7" i="12" s="1"/>
  <c r="G9" i="11"/>
  <c r="F9" i="11"/>
  <c r="E8" i="11"/>
  <c r="E7" i="11"/>
  <c r="E6" i="11"/>
  <c r="E5" i="11"/>
  <c r="E9" i="11" s="1"/>
  <c r="G8" i="8"/>
  <c r="F8" i="8"/>
  <c r="E7" i="8"/>
  <c r="E6" i="8"/>
  <c r="E5" i="8"/>
  <c r="B5" i="8"/>
  <c r="B6" i="8" s="1"/>
  <c r="B7" i="8" s="1"/>
  <c r="E4" i="8"/>
  <c r="E8" i="8" s="1"/>
  <c r="G9" i="9"/>
  <c r="F9" i="9"/>
  <c r="E8" i="9"/>
  <c r="E7" i="9"/>
  <c r="B7" i="9"/>
  <c r="B8" i="9" s="1"/>
  <c r="E6" i="9"/>
  <c r="B6" i="9"/>
  <c r="E5" i="9"/>
  <c r="E9" i="9" s="1"/>
  <c r="G9" i="10"/>
  <c r="F9" i="10"/>
  <c r="E9" i="10"/>
  <c r="E8" i="10"/>
  <c r="E7" i="10"/>
  <c r="E6" i="10"/>
  <c r="B6" i="10"/>
  <c r="B7" i="10" s="1"/>
  <c r="B8" i="10" s="1"/>
  <c r="E5" i="10"/>
  <c r="H33" i="6"/>
  <c r="H27" i="6"/>
  <c r="H26" i="6"/>
  <c r="G26" i="6" s="1"/>
  <c r="G27" i="6" s="1"/>
  <c r="H25" i="6"/>
  <c r="H24" i="6"/>
  <c r="G24" i="6"/>
  <c r="G25" i="6" s="1"/>
  <c r="M23" i="6"/>
  <c r="L23" i="6"/>
  <c r="H23" i="6"/>
  <c r="G23" i="6"/>
  <c r="M22" i="6"/>
  <c r="L22" i="6"/>
  <c r="G22" i="6"/>
  <c r="D20" i="6"/>
  <c r="C20" i="6"/>
  <c r="G17" i="6"/>
  <c r="F17" i="6"/>
  <c r="E17" i="6"/>
  <c r="I13" i="6"/>
  <c r="H13" i="6"/>
  <c r="G13" i="6"/>
  <c r="N11" i="6"/>
  <c r="M11" i="6"/>
  <c r="O11" i="6" s="1"/>
  <c r="F11" i="6"/>
  <c r="E11" i="6"/>
  <c r="O10" i="6"/>
  <c r="K10" i="6"/>
  <c r="J10" i="6"/>
  <c r="I10" i="6"/>
  <c r="D10" i="6"/>
  <c r="O9" i="6"/>
  <c r="K9" i="6" s="1"/>
  <c r="I9" i="6"/>
  <c r="J9" i="6" s="1"/>
  <c r="D9" i="6"/>
  <c r="O8" i="6"/>
  <c r="K8" i="6"/>
  <c r="J8" i="6"/>
  <c r="I8" i="6"/>
  <c r="D8" i="6"/>
  <c r="O7" i="6"/>
  <c r="K7" i="6" s="1"/>
  <c r="I7" i="6"/>
  <c r="J7" i="6" s="1"/>
  <c r="D7" i="6"/>
  <c r="O6" i="6"/>
  <c r="K6" i="6"/>
  <c r="J6" i="6"/>
  <c r="I6" i="6"/>
  <c r="D6" i="6"/>
  <c r="O5" i="6"/>
  <c r="K5" i="6" s="1"/>
  <c r="I5" i="6"/>
  <c r="J5" i="6" s="1"/>
  <c r="D5" i="6"/>
  <c r="B5" i="6"/>
  <c r="B6" i="6" s="1"/>
  <c r="B7" i="6" s="1"/>
  <c r="B8" i="6" s="1"/>
  <c r="B9" i="6" s="1"/>
  <c r="B10" i="6" s="1"/>
  <c r="O4" i="6"/>
  <c r="K4" i="6"/>
  <c r="J4" i="6"/>
  <c r="I4" i="6"/>
  <c r="I11" i="6" s="1"/>
  <c r="D4" i="6"/>
  <c r="D11" i="6" s="1"/>
  <c r="G32" i="6" s="1"/>
  <c r="G33" i="6" s="1"/>
  <c r="F16" i="5"/>
  <c r="E16" i="5"/>
  <c r="H11" i="5"/>
  <c r="E11" i="5"/>
  <c r="D11" i="5"/>
  <c r="I10" i="5"/>
  <c r="H10" i="5"/>
  <c r="C10" i="5"/>
  <c r="I9" i="5"/>
  <c r="H9" i="5"/>
  <c r="C9" i="5"/>
  <c r="I8" i="5"/>
  <c r="H8" i="5"/>
  <c r="C8" i="5"/>
  <c r="I7" i="5"/>
  <c r="H7" i="5"/>
  <c r="C7" i="5"/>
  <c r="A7" i="5"/>
  <c r="A8" i="5" s="1"/>
  <c r="A9" i="5" s="1"/>
  <c r="A10" i="5" s="1"/>
  <c r="I6" i="5"/>
  <c r="I11" i="5" s="1"/>
  <c r="H6" i="5"/>
  <c r="C6" i="5"/>
  <c r="A6" i="5"/>
  <c r="I5" i="5"/>
  <c r="H5" i="5"/>
  <c r="C5" i="5"/>
  <c r="A5" i="5"/>
  <c r="I4" i="5"/>
  <c r="H4" i="5"/>
  <c r="C4" i="5"/>
  <c r="C11" i="5" s="1"/>
  <c r="G17" i="4"/>
  <c r="F17" i="4"/>
  <c r="E11" i="4"/>
  <c r="D11" i="4"/>
  <c r="C10" i="4"/>
  <c r="C9" i="4"/>
  <c r="C8" i="4"/>
  <c r="C7" i="4"/>
  <c r="F6" i="4"/>
  <c r="F7" i="4" s="1"/>
  <c r="C6" i="4"/>
  <c r="A6" i="4"/>
  <c r="A7" i="4" s="1"/>
  <c r="A8" i="4" s="1"/>
  <c r="A9" i="4" s="1"/>
  <c r="A10" i="4" s="1"/>
  <c r="G5" i="4"/>
  <c r="G6" i="4" s="1"/>
  <c r="G7" i="4" s="1"/>
  <c r="G8" i="4" s="1"/>
  <c r="G9" i="4" s="1"/>
  <c r="G10" i="4" s="1"/>
  <c r="F5" i="4"/>
  <c r="H5" i="4" s="1"/>
  <c r="C5" i="4"/>
  <c r="A5" i="4"/>
  <c r="I4" i="4"/>
  <c r="H4" i="4"/>
  <c r="C4" i="4"/>
  <c r="C11" i="4" s="1"/>
  <c r="J41" i="1"/>
  <c r="I41" i="1"/>
  <c r="H41" i="1"/>
  <c r="G41" i="1"/>
  <c r="F41" i="1"/>
  <c r="E41" i="1"/>
  <c r="J40" i="1"/>
  <c r="L40" i="1" s="1"/>
  <c r="E40" i="1"/>
  <c r="J39" i="1"/>
  <c r="K39" i="1" s="1"/>
  <c r="E39" i="1"/>
  <c r="L38" i="1"/>
  <c r="K38" i="1"/>
  <c r="J38" i="1"/>
  <c r="E38" i="1"/>
  <c r="J37" i="1"/>
  <c r="L37" i="1" s="1"/>
  <c r="E37" i="1"/>
  <c r="J36" i="1"/>
  <c r="L36" i="1" s="1"/>
  <c r="E36" i="1"/>
  <c r="G34" i="1"/>
  <c r="F34" i="1"/>
  <c r="E34" i="1"/>
  <c r="L33" i="1"/>
  <c r="J33" i="1"/>
  <c r="K33" i="1" s="1"/>
  <c r="E33" i="1"/>
  <c r="J32" i="1"/>
  <c r="L32" i="1" s="1"/>
  <c r="L34" i="1" s="1"/>
  <c r="E32" i="1"/>
  <c r="J30" i="1"/>
  <c r="G30" i="1"/>
  <c r="F30" i="1"/>
  <c r="E30" i="1"/>
  <c r="L29" i="1"/>
  <c r="K29" i="1"/>
  <c r="J29" i="1"/>
  <c r="E29" i="1"/>
  <c r="J28" i="1"/>
  <c r="L28" i="1" s="1"/>
  <c r="L30" i="1" s="1"/>
  <c r="E28" i="1"/>
  <c r="J26" i="1"/>
  <c r="G26" i="1"/>
  <c r="F26" i="1"/>
  <c r="E26" i="1"/>
  <c r="J25" i="1"/>
  <c r="L25" i="1" s="1"/>
  <c r="E25" i="1"/>
  <c r="L24" i="1"/>
  <c r="J24" i="1"/>
  <c r="K24" i="1" s="1"/>
  <c r="E24" i="1"/>
  <c r="L23" i="1"/>
  <c r="K23" i="1"/>
  <c r="J23" i="1"/>
  <c r="E23" i="1"/>
  <c r="J22" i="1"/>
  <c r="L22" i="1" s="1"/>
  <c r="E22" i="1"/>
  <c r="G20" i="1"/>
  <c r="F20" i="1"/>
  <c r="E20" i="1" s="1"/>
  <c r="K19" i="1"/>
  <c r="J19" i="1"/>
  <c r="L19" i="1" s="1"/>
  <c r="E19" i="1"/>
  <c r="L18" i="1"/>
  <c r="K18" i="1"/>
  <c r="J18" i="1"/>
  <c r="E18" i="1"/>
  <c r="L17" i="1"/>
  <c r="K17" i="1"/>
  <c r="J17" i="1"/>
  <c r="E17" i="1"/>
  <c r="J16" i="1"/>
  <c r="J20" i="1" s="1"/>
  <c r="E16" i="1"/>
  <c r="J14" i="1"/>
  <c r="G14" i="1"/>
  <c r="F14" i="1"/>
  <c r="E14" i="1"/>
  <c r="J13" i="1"/>
  <c r="L13" i="1" s="1"/>
  <c r="E13" i="1"/>
  <c r="J12" i="1"/>
  <c r="K12" i="1" s="1"/>
  <c r="E12" i="1"/>
  <c r="K11" i="1"/>
  <c r="J11" i="1"/>
  <c r="L11" i="1" s="1"/>
  <c r="E11" i="1"/>
  <c r="L10" i="1"/>
  <c r="K10" i="1"/>
  <c r="J10" i="1"/>
  <c r="E10" i="1"/>
  <c r="G8" i="1"/>
  <c r="G42" i="1" s="1"/>
  <c r="F8" i="1"/>
  <c r="J7" i="1"/>
  <c r="K7" i="1" s="1"/>
  <c r="E7" i="1"/>
  <c r="L6" i="1"/>
  <c r="K6" i="1"/>
  <c r="J6" i="1"/>
  <c r="E6" i="1"/>
  <c r="J5" i="1"/>
  <c r="L5" i="1" s="1"/>
  <c r="E5" i="1"/>
  <c r="B5" i="1"/>
  <c r="B6" i="1" s="1"/>
  <c r="B7" i="1" s="1"/>
  <c r="B10" i="1" s="1"/>
  <c r="B11" i="1" s="1"/>
  <c r="B12" i="1" s="1"/>
  <c r="B13" i="1" s="1"/>
  <c r="B16" i="1" s="1"/>
  <c r="B17" i="1" s="1"/>
  <c r="B18" i="1" s="1"/>
  <c r="B19" i="1" s="1"/>
  <c r="B28" i="1" s="1"/>
  <c r="B29" i="1" s="1"/>
  <c r="B32" i="1" s="1"/>
  <c r="B33" i="1" s="1"/>
  <c r="B36" i="1" s="1"/>
  <c r="B37" i="1" s="1"/>
  <c r="B38" i="1" s="1"/>
  <c r="B39" i="1" s="1"/>
  <c r="B40" i="1" s="1"/>
  <c r="J4" i="1"/>
  <c r="J8" i="1" s="1"/>
  <c r="E4" i="1"/>
  <c r="E7" i="13" l="1"/>
  <c r="K14" i="1"/>
  <c r="I5" i="4"/>
  <c r="C13" i="5"/>
  <c r="C14" i="5" s="1"/>
  <c r="J11" i="6"/>
  <c r="J13" i="6" s="1"/>
  <c r="J14" i="6" s="1"/>
  <c r="I14" i="5"/>
  <c r="I13" i="5"/>
  <c r="I18" i="5"/>
  <c r="I19" i="5" s="1"/>
  <c r="F8" i="4"/>
  <c r="H7" i="4"/>
  <c r="I7" i="4" s="1"/>
  <c r="L26" i="1"/>
  <c r="K4" i="1"/>
  <c r="K36" i="1"/>
  <c r="L4" i="1"/>
  <c r="L12" i="1"/>
  <c r="L14" i="1" s="1"/>
  <c r="H6" i="4"/>
  <c r="I6" i="4" s="1"/>
  <c r="L7" i="1"/>
  <c r="K16" i="1"/>
  <c r="K20" i="1" s="1"/>
  <c r="K28" i="1"/>
  <c r="K30" i="1" s="1"/>
  <c r="L39" i="1"/>
  <c r="K5" i="1"/>
  <c r="E8" i="1"/>
  <c r="E42" i="1" s="1"/>
  <c r="K13" i="1"/>
  <c r="L16" i="1"/>
  <c r="L20" i="1" s="1"/>
  <c r="K22" i="1"/>
  <c r="K25" i="1"/>
  <c r="K37" i="1"/>
  <c r="L41" i="1"/>
  <c r="J34" i="1"/>
  <c r="J42" i="1" s="1"/>
  <c r="K32" i="1"/>
  <c r="K34" i="1" s="1"/>
  <c r="K40" i="1"/>
  <c r="F42" i="1"/>
  <c r="J15" i="6" l="1"/>
  <c r="L8" i="1"/>
  <c r="K26" i="1"/>
  <c r="F9" i="4"/>
  <c r="H8" i="4"/>
  <c r="I8" i="4" s="1"/>
  <c r="L42" i="1"/>
  <c r="L44" i="1" s="1"/>
  <c r="K41" i="1"/>
  <c r="K8" i="1"/>
  <c r="H9" i="4" l="1"/>
  <c r="I9" i="4" s="1"/>
  <c r="F10" i="4"/>
  <c r="H10" i="4" s="1"/>
  <c r="I10" i="4" s="1"/>
  <c r="H11" i="4"/>
  <c r="I11" i="4" l="1"/>
  <c r="I14" i="4" l="1"/>
  <c r="I13" i="4"/>
</calcChain>
</file>

<file path=xl/sharedStrings.xml><?xml version="1.0" encoding="utf-8"?>
<sst xmlns="http://schemas.openxmlformats.org/spreadsheetml/2006/main" count="413" uniqueCount="114">
  <si>
    <t>#</t>
  </si>
  <si>
    <t xml:space="preserve">Region </t>
  </si>
  <si>
    <t>Province</t>
  </si>
  <si>
    <t xml:space="preserve">Security Complements </t>
  </si>
  <si>
    <t xml:space="preserve">Armed </t>
  </si>
  <si>
    <t>Unarmed</t>
  </si>
  <si>
    <t xml:space="preserve">Cost Over 36 Months </t>
  </si>
  <si>
    <t xml:space="preserve">Gauteng </t>
  </si>
  <si>
    <t xml:space="preserve">Totals </t>
  </si>
  <si>
    <t>Western Cape</t>
  </si>
  <si>
    <t xml:space="preserve">KwaZulu Natal </t>
  </si>
  <si>
    <t xml:space="preserve">Eastern Cape </t>
  </si>
  <si>
    <t>Northern Cape</t>
  </si>
  <si>
    <t xml:space="preserve">Free State </t>
  </si>
  <si>
    <t>Limpopo</t>
  </si>
  <si>
    <t xml:space="preserve">Mpumalanga </t>
  </si>
  <si>
    <t xml:space="preserve">Unit Cost Armed </t>
  </si>
  <si>
    <t xml:space="preserve">Unit Cost Unarmed </t>
  </si>
  <si>
    <t xml:space="preserve">Monthly Cost </t>
  </si>
  <si>
    <t xml:space="preserve">National Totals </t>
  </si>
  <si>
    <t>Region / Business Unit</t>
  </si>
  <si>
    <t xml:space="preserve">Gauteng North </t>
  </si>
  <si>
    <t xml:space="preserve">Gauteng East </t>
  </si>
  <si>
    <t xml:space="preserve">Gauteng West </t>
  </si>
  <si>
    <t>MLPS Nationally</t>
  </si>
  <si>
    <t xml:space="preserve">Security Complement </t>
  </si>
  <si>
    <t xml:space="preserve">Total </t>
  </si>
  <si>
    <t>Annual Cost</t>
  </si>
  <si>
    <t>GRADE C</t>
  </si>
  <si>
    <t>Armed</t>
  </si>
  <si>
    <t xml:space="preserve">Unarmed </t>
  </si>
  <si>
    <t>Gauteng East</t>
  </si>
  <si>
    <t>Gauteng West</t>
  </si>
  <si>
    <t xml:space="preserve">Western Cape </t>
  </si>
  <si>
    <t>KwaZulu Natal</t>
  </si>
  <si>
    <t xml:space="preserve">MLPS </t>
  </si>
  <si>
    <t xml:space="preserve">Cost for Six Months Extension Incl. Vat </t>
  </si>
  <si>
    <t xml:space="preserve">SECURITY REQUIREMENTS FOR PHASES 1-2&amp;3 BASED ON CURRENT RATES </t>
  </si>
  <si>
    <t>R 578,067,600.00</t>
  </si>
  <si>
    <t>Vat Inclusive</t>
  </si>
  <si>
    <t xml:space="preserve">Percentage for Shares and Overheads </t>
  </si>
  <si>
    <t>Excl. Vat</t>
  </si>
  <si>
    <t>Rates Applicable from March 2023 to February 2024 at Grade C direct cost of R 14,947.13 excluding shares, overheads and Vat</t>
  </si>
  <si>
    <t xml:space="preserve">Own </t>
  </si>
  <si>
    <t>Private Security</t>
  </si>
  <si>
    <t>De-Aar, Kimberly, Warington, Klerksdorp, Christiana and Bloemhof</t>
  </si>
  <si>
    <t>Bloemfontein, Springfontein, Theunesin, Heineman, Kroonstad, Brandford, Sasolburg, Noupoort and Coalsburg</t>
  </si>
  <si>
    <t>Burgersdorp, Rosemead, Cradock, Cookhouse and Ellisdale</t>
  </si>
  <si>
    <t>Naboomspruit, Mokopane, Polokwane, Soekmekaar, Makhado, Mopane and Musina</t>
  </si>
  <si>
    <t>Komatipoort, Malelane, Kaapmeiden, Nelspruit, Middelburg and Standerton</t>
  </si>
  <si>
    <t>GAUTENG WEST - WORK PACKAGE 1</t>
  </si>
  <si>
    <t>GAUTENG EAST - WORK PACKAGE 2</t>
  </si>
  <si>
    <t>GAUTENG NORTH - WORK PACKAGE 3</t>
  </si>
  <si>
    <t>WESTERN CAPE - WORK PACKAGE 4</t>
  </si>
  <si>
    <t>EASTERN CAPE - WORKPACKAGE 6</t>
  </si>
  <si>
    <t>MAINLINE PASSENGER SERVICES (MLPS) - WORK PACKAGE 7</t>
  </si>
  <si>
    <t>KWAZULU NATAL - WORK PACKAGE 5</t>
  </si>
  <si>
    <t xml:space="preserve">Grade - C </t>
  </si>
  <si>
    <t xml:space="preserve">Monthly Value Inlc. Vat </t>
  </si>
  <si>
    <t xml:space="preserve">Grade C Units Cost Incl. Vat  </t>
  </si>
  <si>
    <t>Grade C Complements</t>
  </si>
  <si>
    <t xml:space="preserve">Total Security Complements </t>
  </si>
  <si>
    <t xml:space="preserve">Description of Service </t>
  </si>
  <si>
    <t xml:space="preserve">Unit of Measure </t>
  </si>
  <si>
    <t>R/Km</t>
  </si>
  <si>
    <t>Per 12 Hour Shift</t>
  </si>
  <si>
    <t>Per 12 Hour Shift for Team of 10</t>
  </si>
  <si>
    <t>Per 12 Hour Shift for Team of 2</t>
  </si>
  <si>
    <t>Gade C Armed Security Officers @ rate per guard per shift</t>
  </si>
  <si>
    <t>Rate Per Guard Per 12 Hour Shift</t>
  </si>
  <si>
    <t xml:space="preserve">K9 Officer with Narcotic dogs. </t>
  </si>
  <si>
    <t xml:space="preserve">K9 Officer with Explosive dogs. </t>
  </si>
  <si>
    <t>Provision of Motor Vehicles LDV single Cab with Grade B driver wet rate. Estimated 250 km per shift</t>
  </si>
  <si>
    <t>Provision of Scrambler Motorcycles with Grade C rider wet rate. Estimated 100 km per shift</t>
  </si>
  <si>
    <t>B6 Armoured Personnel Carrier (must seat 10 persons)</t>
  </si>
  <si>
    <t xml:space="preserve">B6 SUV Armoured vehicles as-and-when required wet rate. </t>
  </si>
  <si>
    <t xml:space="preserve">Grade B Armed Tactical Security officers of Ten Man Team Including Driver for personnel carrier . Shotguns compulsory. </t>
  </si>
  <si>
    <t>Provision of Motor Vehicles LDV Double Cab with Grade B driver wet rate. Estimated 250 km per shift</t>
  </si>
  <si>
    <t>Provision of quadbikes with Grade C rider wet rate.Estimated 50 km per shift</t>
  </si>
  <si>
    <t>Grade B Armed 2-Man Tactical Security officers/drivers for armoured SUV</t>
  </si>
  <si>
    <t>National Ad-Hoc Intervention Unit</t>
  </si>
  <si>
    <t>*Must have offices in KZN, WC and GP</t>
  </si>
  <si>
    <t>AD-HOC SERVICES AS-AND-WHEN REQUIRED - Estimate for all 8 work packages</t>
  </si>
  <si>
    <t xml:space="preserve">Year 1 Incl. VAT </t>
  </si>
  <si>
    <t>Year 2 Including Escalation and VAT</t>
  </si>
  <si>
    <t xml:space="preserve">Year 3 Including Escalation and VAT </t>
  </si>
  <si>
    <t>Total Cost Over 36 Months Incl. Vat</t>
  </si>
  <si>
    <t>Monthly Value Incl. Vat</t>
  </si>
  <si>
    <t>Gautneg North 1 - Mabopane-De Wildt - Winternest</t>
  </si>
  <si>
    <t>Gauteng North 2 - Wolmerton- Belle Ombre- Schutte- Queenswood</t>
  </si>
  <si>
    <t>Gauteng North 3 - Koedoes-Pienaars-Mears</t>
  </si>
  <si>
    <t>Gauteng North 4 - Sauls-Pretoria-Pinedene</t>
  </si>
  <si>
    <t>Gauteng East 1 - Leralla-Olifantsfontein - Oakmoor - Tembisa - Limindlela - Kempton Park - Isando - Rhodesfield - Daveyton - Benoni - Brakpan - Springs - Dunswart - Doornfontein - Nigel  - Kaalfontein - Ravensklip - Elandsfontein - Germiston</t>
  </si>
  <si>
    <t>Gauteng East 2 - Ravensklip-Germiston-George Koch</t>
  </si>
  <si>
    <t xml:space="preserve">Gauteng East 3 - Delmore - Daveyton - Nigel </t>
  </si>
  <si>
    <t xml:space="preserve">Gauteng East 4 - Kwesine- Wadeville- Elsburg- Vereeniging </t>
  </si>
  <si>
    <t xml:space="preserve">Gautneg West  1 - Mlamlankunzi - Midway -Vereeniging </t>
  </si>
  <si>
    <t>Gauteng West 2 -Langlaagte-New Canada- Naledi</t>
  </si>
  <si>
    <t xml:space="preserve">Gauteng West 3 - Industria- Roodepport- Randfontein - Oberlholser </t>
  </si>
  <si>
    <t xml:space="preserve">Gauteng West 4 - Langlaate- Parkstation -Geoege Goch, Jikeleza, Westgate &amp; Faraday </t>
  </si>
  <si>
    <t xml:space="preserve">North </t>
  </si>
  <si>
    <t xml:space="preserve">Central </t>
  </si>
  <si>
    <t>Ikapa</t>
  </si>
  <si>
    <t xml:space="preserve">South </t>
  </si>
  <si>
    <t xml:space="preserve">Newline Main Line /Crossmoor/Umlazi line  / KwaMashu </t>
  </si>
  <si>
    <t xml:space="preserve">Central Line / North Coast / South </t>
  </si>
  <si>
    <t xml:space="preserve">Port Elizabeth </t>
  </si>
  <si>
    <t xml:space="preserve">East London </t>
  </si>
  <si>
    <t>Unit Cost Incl. Vat</t>
  </si>
  <si>
    <t xml:space="preserve">Estimate  Year 1 </t>
  </si>
  <si>
    <t>Estimate Year 2 to Year 3</t>
  </si>
  <si>
    <t>Year 2 Including VAT</t>
  </si>
  <si>
    <t xml:space="preserve"> Unit Cost Year 2 Including Escalation and VAT</t>
  </si>
  <si>
    <t>REQUEST FOR PROPOSAL – PRIVATE SECURITY SERVICES
TENDER NUMBER: HO/SEC/002/05/2023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</si>
</sst>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&quot;* #,##0.00_-;\-&quot;R&quot;* #,##0.00_-;_-&quot;R&quot;* &quot;-&quot;??_-;_-@_-"/>
    <numFmt numFmtId="165" formatCode="[$R-1C09]#,##0.00"/>
    <numFmt numFmtId="166" formatCode="[$R-1C09]#,##0"/>
    <numFmt numFmtId="167" formatCode="[$R-436]#,##0.00"/>
    <numFmt numFmtId="168" formatCode="&quot;R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8" fillId="0" borderId="0" applyFont="0" applyFill="0" applyBorder="0" applyAlignment="0" applyProtection="0"/>
  </cellStyleXfs>
  <cellXfs count="395">
    <xf numFmtId="0" fontId="0" fillId="0" borderId="0" xfId="0"/>
    <xf numFmtId="0" fontId="0" fillId="0" borderId="0" xfId="0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top"/>
    </xf>
    <xf numFmtId="165" fontId="1" fillId="2" borderId="2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vertical="top" wrapText="1"/>
    </xf>
    <xf numFmtId="1" fontId="0" fillId="2" borderId="2" xfId="0" applyNumberFormat="1" applyFill="1" applyBorder="1" applyAlignment="1">
      <alignment horizontal="center" vertical="top"/>
    </xf>
    <xf numFmtId="165" fontId="0" fillId="2" borderId="2" xfId="0" applyNumberForma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/>
    </xf>
    <xf numFmtId="165" fontId="1" fillId="3" borderId="2" xfId="0" applyNumberFormat="1" applyFon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vertical="top" wrapText="1"/>
    </xf>
    <xf numFmtId="1" fontId="0" fillId="3" borderId="2" xfId="0" applyNumberFormat="1" applyFill="1" applyBorder="1" applyAlignment="1">
      <alignment horizontal="center" vertical="top"/>
    </xf>
    <xf numFmtId="165" fontId="0" fillId="3" borderId="2" xfId="0" applyNumberForma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/>
    </xf>
    <xf numFmtId="165" fontId="1" fillId="4" borderId="2" xfId="0" applyNumberFormat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left" vertical="top" wrapText="1"/>
    </xf>
    <xf numFmtId="0" fontId="0" fillId="4" borderId="2" xfId="0" applyFill="1" applyBorder="1" applyAlignment="1">
      <alignment vertical="top" wrapText="1"/>
    </xf>
    <xf numFmtId="1" fontId="0" fillId="4" borderId="2" xfId="0" applyNumberFormat="1" applyFill="1" applyBorder="1" applyAlignment="1">
      <alignment horizontal="center" vertical="top"/>
    </xf>
    <xf numFmtId="165" fontId="0" fillId="4" borderId="2" xfId="0" applyNumberForma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vertical="top" wrapText="1"/>
    </xf>
    <xf numFmtId="1" fontId="1" fillId="5" borderId="2" xfId="0" applyNumberFormat="1" applyFont="1" applyFill="1" applyBorder="1" applyAlignment="1">
      <alignment horizontal="center" vertical="top" wrapText="1"/>
    </xf>
    <xf numFmtId="1" fontId="1" fillId="5" borderId="2" xfId="0" applyNumberFormat="1" applyFont="1" applyFill="1" applyBorder="1" applyAlignment="1">
      <alignment horizontal="center" vertical="top"/>
    </xf>
    <xf numFmtId="165" fontId="1" fillId="5" borderId="2" xfId="0" applyNumberFormat="1" applyFont="1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left" vertical="top" wrapText="1"/>
    </xf>
    <xf numFmtId="0" fontId="0" fillId="5" borderId="2" xfId="0" applyFill="1" applyBorder="1" applyAlignment="1">
      <alignment vertical="top" wrapText="1"/>
    </xf>
    <xf numFmtId="1" fontId="0" fillId="5" borderId="2" xfId="0" applyNumberFormat="1" applyFill="1" applyBorder="1" applyAlignment="1">
      <alignment horizontal="center" vertical="top"/>
    </xf>
    <xf numFmtId="165" fontId="0" fillId="5" borderId="2" xfId="0" applyNumberForma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vertical="top" wrapText="1"/>
    </xf>
    <xf numFmtId="1" fontId="1" fillId="6" borderId="2" xfId="0" applyNumberFormat="1" applyFont="1" applyFill="1" applyBorder="1" applyAlignment="1">
      <alignment horizontal="center" vertical="top" wrapText="1"/>
    </xf>
    <xf numFmtId="1" fontId="1" fillId="6" borderId="2" xfId="0" applyNumberFormat="1" applyFont="1" applyFill="1" applyBorder="1" applyAlignment="1">
      <alignment horizontal="center" vertical="top"/>
    </xf>
    <xf numFmtId="165" fontId="1" fillId="6" borderId="2" xfId="0" applyNumberFormat="1" applyFont="1" applyFill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0" fontId="0" fillId="6" borderId="2" xfId="0" applyFill="1" applyBorder="1" applyAlignment="1">
      <alignment vertical="top" wrapText="1"/>
    </xf>
    <xf numFmtId="1" fontId="0" fillId="6" borderId="2" xfId="0" applyNumberFormat="1" applyFill="1" applyBorder="1" applyAlignment="1">
      <alignment horizontal="center" vertical="top"/>
    </xf>
    <xf numFmtId="165" fontId="0" fillId="6" borderId="2" xfId="0" applyNumberForma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vertical="top" wrapText="1"/>
    </xf>
    <xf numFmtId="1" fontId="1" fillId="7" borderId="2" xfId="0" applyNumberFormat="1" applyFont="1" applyFill="1" applyBorder="1" applyAlignment="1">
      <alignment horizontal="center" vertical="top" wrapText="1"/>
    </xf>
    <xf numFmtId="1" fontId="1" fillId="7" borderId="2" xfId="0" applyNumberFormat="1" applyFont="1" applyFill="1" applyBorder="1" applyAlignment="1">
      <alignment horizontal="center" vertical="top"/>
    </xf>
    <xf numFmtId="165" fontId="1" fillId="7" borderId="2" xfId="0" applyNumberFormat="1" applyFont="1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0" fillId="7" borderId="2" xfId="0" applyFill="1" applyBorder="1" applyAlignment="1">
      <alignment vertical="top" wrapText="1"/>
    </xf>
    <xf numFmtId="1" fontId="0" fillId="7" borderId="2" xfId="0" applyNumberFormat="1" applyFill="1" applyBorder="1" applyAlignment="1">
      <alignment horizontal="center" vertical="top"/>
    </xf>
    <xf numFmtId="165" fontId="0" fillId="7" borderId="2" xfId="0" applyNumberFormat="1" applyFill="1" applyBorder="1" applyAlignment="1">
      <alignment horizontal="center" vertical="top"/>
    </xf>
    <xf numFmtId="0" fontId="1" fillId="8" borderId="2" xfId="0" applyFont="1" applyFill="1" applyBorder="1" applyAlignment="1">
      <alignment horizontal="center" vertical="top"/>
    </xf>
    <xf numFmtId="0" fontId="1" fillId="8" borderId="2" xfId="0" applyFont="1" applyFill="1" applyBorder="1" applyAlignment="1">
      <alignment vertical="top" wrapText="1"/>
    </xf>
    <xf numFmtId="1" fontId="1" fillId="8" borderId="2" xfId="0" applyNumberFormat="1" applyFont="1" applyFill="1" applyBorder="1" applyAlignment="1">
      <alignment horizontal="center" vertical="top" wrapText="1"/>
    </xf>
    <xf numFmtId="1" fontId="1" fillId="8" borderId="2" xfId="0" applyNumberFormat="1" applyFont="1" applyFill="1" applyBorder="1" applyAlignment="1">
      <alignment horizontal="center" vertical="top"/>
    </xf>
    <xf numFmtId="165" fontId="1" fillId="8" borderId="2" xfId="0" applyNumberFormat="1" applyFont="1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8" borderId="2" xfId="0" applyFill="1" applyBorder="1" applyAlignment="1">
      <alignment vertical="top" wrapText="1"/>
    </xf>
    <xf numFmtId="1" fontId="0" fillId="8" borderId="2" xfId="0" applyNumberFormat="1" applyFill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top"/>
    </xf>
    <xf numFmtId="165" fontId="0" fillId="0" borderId="0" xfId="0" applyNumberFormat="1" applyAlignment="1">
      <alignment horizontal="center" vertical="top" wrapText="1"/>
    </xf>
    <xf numFmtId="165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0" fillId="0" borderId="0" xfId="0" applyNumberFormat="1" applyAlignment="1">
      <alignment vertical="top" wrapText="1"/>
    </xf>
    <xf numFmtId="165" fontId="1" fillId="2" borderId="2" xfId="0" applyNumberFormat="1" applyFont="1" applyFill="1" applyBorder="1" applyAlignment="1">
      <alignment horizontal="center" vertical="top" wrapText="1"/>
    </xf>
    <xf numFmtId="165" fontId="0" fillId="8" borderId="2" xfId="0" applyNumberFormat="1" applyFill="1" applyBorder="1" applyAlignment="1">
      <alignment horizontal="center" vertical="top"/>
    </xf>
    <xf numFmtId="165" fontId="1" fillId="4" borderId="2" xfId="0" applyNumberFormat="1" applyFont="1" applyFill="1" applyBorder="1" applyAlignment="1">
      <alignment horizontal="center" vertical="top" wrapText="1"/>
    </xf>
    <xf numFmtId="165" fontId="1" fillId="3" borderId="2" xfId="0" applyNumberFormat="1" applyFont="1" applyFill="1" applyBorder="1" applyAlignment="1">
      <alignment horizontal="center" vertical="top" wrapText="1"/>
    </xf>
    <xf numFmtId="165" fontId="1" fillId="5" borderId="2" xfId="0" applyNumberFormat="1" applyFont="1" applyFill="1" applyBorder="1" applyAlignment="1">
      <alignment horizontal="center" vertical="top" wrapText="1"/>
    </xf>
    <xf numFmtId="165" fontId="1" fillId="6" borderId="2" xfId="0" applyNumberFormat="1" applyFont="1" applyFill="1" applyBorder="1" applyAlignment="1">
      <alignment horizontal="center" vertical="top" wrapText="1"/>
    </xf>
    <xf numFmtId="165" fontId="1" fillId="7" borderId="2" xfId="0" applyNumberFormat="1" applyFont="1" applyFill="1" applyBorder="1" applyAlignment="1">
      <alignment horizontal="center" vertical="top" wrapText="1"/>
    </xf>
    <xf numFmtId="165" fontId="1" fillId="8" borderId="2" xfId="0" applyNumberFormat="1" applyFont="1" applyFill="1" applyBorder="1" applyAlignment="1">
      <alignment horizontal="center" vertical="top" wrapText="1"/>
    </xf>
    <xf numFmtId="167" fontId="0" fillId="0" borderId="0" xfId="0" applyNumberFormat="1"/>
    <xf numFmtId="0" fontId="0" fillId="0" borderId="2" xfId="0" applyBorder="1"/>
    <xf numFmtId="167" fontId="0" fillId="0" borderId="2" xfId="0" applyNumberFormat="1" applyBorder="1"/>
    <xf numFmtId="0" fontId="0" fillId="0" borderId="2" xfId="0" applyBorder="1" applyAlignment="1">
      <alignment horizontal="center" wrapText="1"/>
    </xf>
    <xf numFmtId="1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6" xfId="0" applyBorder="1"/>
    <xf numFmtId="0" fontId="0" fillId="0" borderId="6" xfId="0" applyBorder="1" applyAlignment="1">
      <alignment horizontal="center" wrapText="1"/>
    </xf>
    <xf numFmtId="167" fontId="0" fillId="0" borderId="6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4" fillId="9" borderId="2" xfId="0" applyFont="1" applyFill="1" applyBorder="1" applyAlignment="1">
      <alignment horizontal="center" vertical="top" wrapText="1"/>
    </xf>
    <xf numFmtId="1" fontId="4" fillId="9" borderId="2" xfId="0" applyNumberFormat="1" applyFont="1" applyFill="1" applyBorder="1" applyAlignment="1">
      <alignment horizontal="center" wrapText="1"/>
    </xf>
    <xf numFmtId="167" fontId="4" fillId="9" borderId="2" xfId="0" applyNumberFormat="1" applyFont="1" applyFill="1" applyBorder="1"/>
    <xf numFmtId="0" fontId="4" fillId="9" borderId="9" xfId="0" applyFont="1" applyFill="1" applyBorder="1" applyAlignment="1">
      <alignment horizontal="center" vertical="top" wrapText="1"/>
    </xf>
    <xf numFmtId="167" fontId="0" fillId="0" borderId="11" xfId="0" applyNumberFormat="1" applyBorder="1"/>
    <xf numFmtId="167" fontId="1" fillId="0" borderId="19" xfId="0" applyNumberFormat="1" applyFont="1" applyBorder="1"/>
    <xf numFmtId="167" fontId="1" fillId="0" borderId="11" xfId="0" applyNumberFormat="1" applyFont="1" applyBorder="1"/>
    <xf numFmtId="0" fontId="0" fillId="0" borderId="0" xfId="0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167" fontId="0" fillId="0" borderId="11" xfId="0" applyNumberFormat="1" applyBorder="1" applyAlignment="1">
      <alignment vertical="top"/>
    </xf>
    <xf numFmtId="0" fontId="1" fillId="0" borderId="20" xfId="0" applyFont="1" applyBorder="1" applyAlignment="1">
      <alignment horizontal="center" vertical="top" wrapText="1"/>
    </xf>
    <xf numFmtId="165" fontId="0" fillId="0" borderId="20" xfId="0" applyNumberFormat="1" applyBorder="1" applyAlignment="1">
      <alignment horizontal="center" wrapText="1"/>
    </xf>
    <xf numFmtId="165" fontId="1" fillId="0" borderId="22" xfId="0" applyNumberFormat="1" applyFont="1" applyBorder="1" applyAlignment="1">
      <alignment horizontal="center" wrapText="1"/>
    </xf>
    <xf numFmtId="165" fontId="0" fillId="0" borderId="21" xfId="0" applyNumberFormat="1" applyBorder="1"/>
    <xf numFmtId="165" fontId="1" fillId="0" borderId="22" xfId="0" applyNumberFormat="1" applyFont="1" applyBorder="1"/>
    <xf numFmtId="167" fontId="0" fillId="0" borderId="18" xfId="0" applyNumberFormat="1" applyBorder="1"/>
    <xf numFmtId="167" fontId="0" fillId="0" borderId="26" xfId="0" applyNumberFormat="1" applyBorder="1"/>
    <xf numFmtId="0" fontId="5" fillId="10" borderId="27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1" fontId="0" fillId="0" borderId="0" xfId="0" applyNumberFormat="1"/>
    <xf numFmtId="168" fontId="0" fillId="0" borderId="0" xfId="0" applyNumberFormat="1"/>
    <xf numFmtId="167" fontId="0" fillId="0" borderId="0" xfId="0" applyNumberFormat="1" applyAlignment="1">
      <alignment horizontal="center" wrapText="1"/>
    </xf>
    <xf numFmtId="165" fontId="6" fillId="0" borderId="0" xfId="0" applyNumberFormat="1" applyFont="1" applyAlignment="1">
      <alignment horizontal="center" vertical="top" wrapText="1"/>
    </xf>
    <xf numFmtId="0" fontId="6" fillId="11" borderId="0" xfId="0" applyFont="1" applyFill="1" applyAlignment="1">
      <alignment vertical="top"/>
    </xf>
    <xf numFmtId="0" fontId="6" fillId="11" borderId="0" xfId="0" applyFont="1" applyFill="1" applyAlignment="1">
      <alignment horizontal="center" vertical="top"/>
    </xf>
    <xf numFmtId="0" fontId="6" fillId="11" borderId="0" xfId="0" applyFont="1" applyFill="1" applyAlignment="1">
      <alignment vertical="top" wrapText="1"/>
    </xf>
    <xf numFmtId="1" fontId="6" fillId="11" borderId="0" xfId="0" applyNumberFormat="1" applyFont="1" applyFill="1" applyAlignment="1">
      <alignment horizontal="center" vertical="top"/>
    </xf>
    <xf numFmtId="0" fontId="7" fillId="11" borderId="0" xfId="0" applyFont="1" applyFill="1" applyAlignment="1">
      <alignment vertical="top"/>
    </xf>
    <xf numFmtId="165" fontId="6" fillId="11" borderId="0" xfId="0" applyNumberFormat="1" applyFont="1" applyFill="1" applyAlignment="1">
      <alignment horizontal="center" vertical="top" wrapText="1"/>
    </xf>
    <xf numFmtId="0" fontId="6" fillId="12" borderId="0" xfId="0" applyFont="1" applyFill="1" applyAlignment="1">
      <alignment horizontal="center" vertical="top"/>
    </xf>
    <xf numFmtId="0" fontId="6" fillId="12" borderId="0" xfId="0" applyFont="1" applyFill="1" applyAlignment="1">
      <alignment vertical="top" wrapText="1"/>
    </xf>
    <xf numFmtId="0" fontId="6" fillId="12" borderId="0" xfId="0" applyFont="1" applyFill="1" applyAlignment="1">
      <alignment horizontal="center" vertical="top" wrapText="1"/>
    </xf>
    <xf numFmtId="1" fontId="6" fillId="12" borderId="0" xfId="0" applyNumberFormat="1" applyFont="1" applyFill="1" applyAlignment="1">
      <alignment horizontal="center" vertical="top"/>
    </xf>
    <xf numFmtId="0" fontId="6" fillId="12" borderId="0" xfId="0" applyFont="1" applyFill="1" applyAlignment="1">
      <alignment vertical="top"/>
    </xf>
    <xf numFmtId="0" fontId="7" fillId="12" borderId="0" xfId="0" applyFont="1" applyFill="1" applyAlignment="1">
      <alignment vertical="top"/>
    </xf>
    <xf numFmtId="1" fontId="7" fillId="12" borderId="52" xfId="0" applyNumberFormat="1" applyFont="1" applyFill="1" applyBorder="1" applyAlignment="1">
      <alignment vertical="top"/>
    </xf>
    <xf numFmtId="1" fontId="7" fillId="12" borderId="45" xfId="0" applyNumberFormat="1" applyFont="1" applyFill="1" applyBorder="1" applyAlignment="1">
      <alignment vertical="top"/>
    </xf>
    <xf numFmtId="1" fontId="7" fillId="12" borderId="51" xfId="0" applyNumberFormat="1" applyFont="1" applyFill="1" applyBorder="1" applyAlignment="1">
      <alignment vertical="top"/>
    </xf>
    <xf numFmtId="0" fontId="6" fillId="12" borderId="32" xfId="0" applyFont="1" applyFill="1" applyBorder="1" applyAlignment="1">
      <alignment horizontal="center" vertical="top"/>
    </xf>
    <xf numFmtId="0" fontId="6" fillId="12" borderId="6" xfId="0" applyFont="1" applyFill="1" applyBorder="1" applyAlignment="1">
      <alignment horizontal="left" vertical="top" wrapText="1"/>
    </xf>
    <xf numFmtId="1" fontId="6" fillId="12" borderId="42" xfId="0" applyNumberFormat="1" applyFont="1" applyFill="1" applyBorder="1" applyAlignment="1">
      <alignment horizontal="center" vertical="top"/>
    </xf>
    <xf numFmtId="1" fontId="6" fillId="12" borderId="32" xfId="0" applyNumberFormat="1" applyFont="1" applyFill="1" applyBorder="1" applyAlignment="1">
      <alignment horizontal="center" vertical="top"/>
    </xf>
    <xf numFmtId="1" fontId="6" fillId="12" borderId="35" xfId="0" applyNumberFormat="1" applyFont="1" applyFill="1" applyBorder="1" applyAlignment="1">
      <alignment horizontal="center" vertical="top"/>
    </xf>
    <xf numFmtId="0" fontId="6" fillId="12" borderId="32" xfId="0" applyFont="1" applyFill="1" applyBorder="1" applyAlignment="1">
      <alignment vertical="top"/>
    </xf>
    <xf numFmtId="0" fontId="6" fillId="12" borderId="42" xfId="0" applyFont="1" applyFill="1" applyBorder="1" applyAlignment="1">
      <alignment vertical="top"/>
    </xf>
    <xf numFmtId="0" fontId="6" fillId="12" borderId="61" xfId="0" applyFont="1" applyFill="1" applyBorder="1" applyAlignment="1">
      <alignment vertical="top"/>
    </xf>
    <xf numFmtId="0" fontId="6" fillId="12" borderId="7" xfId="0" applyFont="1" applyFill="1" applyBorder="1" applyAlignment="1">
      <alignment horizontal="center" vertical="top"/>
    </xf>
    <xf numFmtId="0" fontId="6" fillId="12" borderId="2" xfId="0" applyFont="1" applyFill="1" applyBorder="1" applyAlignment="1">
      <alignment horizontal="left" vertical="top" wrapText="1"/>
    </xf>
    <xf numFmtId="0" fontId="6" fillId="12" borderId="2" xfId="0" applyFont="1" applyFill="1" applyBorder="1" applyAlignment="1">
      <alignment horizontal="center" vertical="top" wrapText="1"/>
    </xf>
    <xf numFmtId="1" fontId="6" fillId="12" borderId="3" xfId="0" applyNumberFormat="1" applyFont="1" applyFill="1" applyBorder="1" applyAlignment="1">
      <alignment horizontal="center" vertical="top"/>
    </xf>
    <xf numFmtId="1" fontId="6" fillId="12" borderId="7" xfId="0" applyNumberFormat="1" applyFont="1" applyFill="1" applyBorder="1" applyAlignment="1">
      <alignment horizontal="center" vertical="top"/>
    </xf>
    <xf numFmtId="1" fontId="6" fillId="12" borderId="27" xfId="0" applyNumberFormat="1" applyFont="1" applyFill="1" applyBorder="1" applyAlignment="1">
      <alignment horizontal="center" vertical="top"/>
    </xf>
    <xf numFmtId="0" fontId="6" fillId="12" borderId="7" xfId="0" applyFont="1" applyFill="1" applyBorder="1" applyAlignment="1">
      <alignment vertical="top"/>
    </xf>
    <xf numFmtId="0" fontId="6" fillId="12" borderId="3" xfId="0" applyFont="1" applyFill="1" applyBorder="1" applyAlignment="1">
      <alignment vertical="top"/>
    </xf>
    <xf numFmtId="0" fontId="6" fillId="12" borderId="62" xfId="0" applyFont="1" applyFill="1" applyBorder="1" applyAlignment="1">
      <alignment vertical="top"/>
    </xf>
    <xf numFmtId="0" fontId="6" fillId="12" borderId="57" xfId="0" applyFont="1" applyFill="1" applyBorder="1" applyAlignment="1">
      <alignment horizontal="center" vertical="top"/>
    </xf>
    <xf numFmtId="0" fontId="6" fillId="12" borderId="10" xfId="0" applyFont="1" applyFill="1" applyBorder="1" applyAlignment="1">
      <alignment horizontal="left" vertical="top" wrapText="1"/>
    </xf>
    <xf numFmtId="1" fontId="6" fillId="12" borderId="55" xfId="0" applyNumberFormat="1" applyFont="1" applyFill="1" applyBorder="1" applyAlignment="1">
      <alignment horizontal="center" vertical="top"/>
    </xf>
    <xf numFmtId="1" fontId="6" fillId="12" borderId="57" xfId="0" applyNumberFormat="1" applyFont="1" applyFill="1" applyBorder="1" applyAlignment="1">
      <alignment horizontal="center" vertical="top"/>
    </xf>
    <xf numFmtId="0" fontId="6" fillId="12" borderId="57" xfId="0" applyFont="1" applyFill="1" applyBorder="1" applyAlignment="1">
      <alignment vertical="top"/>
    </xf>
    <xf numFmtId="0" fontId="6" fillId="12" borderId="55" xfId="0" applyFont="1" applyFill="1" applyBorder="1" applyAlignment="1">
      <alignment vertical="top"/>
    </xf>
    <xf numFmtId="0" fontId="6" fillId="12" borderId="63" xfId="0" applyFont="1" applyFill="1" applyBorder="1" applyAlignment="1">
      <alignment vertical="top"/>
    </xf>
    <xf numFmtId="0" fontId="6" fillId="12" borderId="40" xfId="0" applyFont="1" applyFill="1" applyBorder="1" applyAlignment="1">
      <alignment vertical="top"/>
    </xf>
    <xf numFmtId="165" fontId="6" fillId="12" borderId="0" xfId="0" applyNumberFormat="1" applyFont="1" applyFill="1" applyAlignment="1">
      <alignment horizontal="center" vertical="top" wrapText="1"/>
    </xf>
    <xf numFmtId="0" fontId="6" fillId="12" borderId="2" xfId="0" applyFont="1" applyFill="1" applyBorder="1" applyAlignment="1">
      <alignment vertical="top" wrapText="1"/>
    </xf>
    <xf numFmtId="1" fontId="6" fillId="12" borderId="2" xfId="0" applyNumberFormat="1" applyFont="1" applyFill="1" applyBorder="1" applyAlignment="1">
      <alignment horizontal="center" vertical="top"/>
    </xf>
    <xf numFmtId="0" fontId="6" fillId="12" borderId="2" xfId="0" applyFont="1" applyFill="1" applyBorder="1" applyAlignment="1">
      <alignment horizontal="justify" vertical="center"/>
    </xf>
    <xf numFmtId="1" fontId="7" fillId="12" borderId="9" xfId="0" applyNumberFormat="1" applyFont="1" applyFill="1" applyBorder="1" applyAlignment="1">
      <alignment vertical="top"/>
    </xf>
    <xf numFmtId="1" fontId="7" fillId="12" borderId="54" xfId="0" applyNumberFormat="1" applyFont="1" applyFill="1" applyBorder="1" applyAlignment="1">
      <alignment vertical="top"/>
    </xf>
    <xf numFmtId="1" fontId="7" fillId="12" borderId="8" xfId="0" applyNumberFormat="1" applyFont="1" applyFill="1" applyBorder="1" applyAlignment="1">
      <alignment vertical="top"/>
    </xf>
    <xf numFmtId="1" fontId="7" fillId="12" borderId="33" xfId="0" applyNumberFormat="1" applyFont="1" applyFill="1" applyBorder="1" applyAlignment="1">
      <alignment vertical="top"/>
    </xf>
    <xf numFmtId="0" fontId="6" fillId="12" borderId="44" xfId="0" applyFont="1" applyFill="1" applyBorder="1" applyAlignment="1">
      <alignment horizontal="center" vertical="top"/>
    </xf>
    <xf numFmtId="0" fontId="6" fillId="12" borderId="30" xfId="0" applyFont="1" applyFill="1" applyBorder="1" applyAlignment="1">
      <alignment horizontal="left" vertical="top" wrapText="1"/>
    </xf>
    <xf numFmtId="0" fontId="6" fillId="12" borderId="36" xfId="0" applyFont="1" applyFill="1" applyBorder="1" applyAlignment="1">
      <alignment vertical="top" wrapText="1"/>
    </xf>
    <xf numFmtId="1" fontId="6" fillId="12" borderId="59" xfId="0" applyNumberFormat="1" applyFont="1" applyFill="1" applyBorder="1" applyAlignment="1">
      <alignment horizontal="center" vertical="top"/>
    </xf>
    <xf numFmtId="1" fontId="6" fillId="12" borderId="37" xfId="0" applyNumberFormat="1" applyFont="1" applyFill="1" applyBorder="1" applyAlignment="1">
      <alignment horizontal="center" vertical="top"/>
    </xf>
    <xf numFmtId="1" fontId="6" fillId="12" borderId="36" xfId="0" applyNumberFormat="1" applyFont="1" applyFill="1" applyBorder="1" applyAlignment="1">
      <alignment horizontal="center" vertical="top"/>
    </xf>
    <xf numFmtId="0" fontId="6" fillId="12" borderId="44" xfId="0" applyFont="1" applyFill="1" applyBorder="1" applyAlignment="1">
      <alignment vertical="top"/>
    </xf>
    <xf numFmtId="0" fontId="6" fillId="12" borderId="31" xfId="0" applyFont="1" applyFill="1" applyBorder="1" applyAlignment="1">
      <alignment vertical="top"/>
    </xf>
    <xf numFmtId="0" fontId="6" fillId="12" borderId="59" xfId="0" applyFont="1" applyFill="1" applyBorder="1" applyAlignment="1">
      <alignment vertical="top"/>
    </xf>
    <xf numFmtId="0" fontId="6" fillId="12" borderId="17" xfId="0" applyFont="1" applyFill="1" applyBorder="1" applyAlignment="1">
      <alignment vertical="top"/>
    </xf>
    <xf numFmtId="0" fontId="6" fillId="12" borderId="3" xfId="0" applyFont="1" applyFill="1" applyBorder="1" applyAlignment="1">
      <alignment vertical="top" wrapText="1"/>
    </xf>
    <xf numFmtId="1" fontId="6" fillId="12" borderId="62" xfId="0" applyNumberFormat="1" applyFont="1" applyFill="1" applyBorder="1" applyAlignment="1">
      <alignment horizontal="center" vertical="top"/>
    </xf>
    <xf numFmtId="1" fontId="6" fillId="12" borderId="5" xfId="0" applyNumberFormat="1" applyFont="1" applyFill="1" applyBorder="1" applyAlignment="1">
      <alignment horizontal="center" vertical="top"/>
    </xf>
    <xf numFmtId="0" fontId="6" fillId="12" borderId="27" xfId="0" applyFont="1" applyFill="1" applyBorder="1" applyAlignment="1">
      <alignment vertical="top"/>
    </xf>
    <xf numFmtId="0" fontId="6" fillId="12" borderId="67" xfId="0" applyFont="1" applyFill="1" applyBorder="1" applyAlignment="1">
      <alignment vertical="top"/>
    </xf>
    <xf numFmtId="0" fontId="6" fillId="12" borderId="8" xfId="0" applyFont="1" applyFill="1" applyBorder="1" applyAlignment="1">
      <alignment horizontal="center" vertical="top"/>
    </xf>
    <xf numFmtId="0" fontId="6" fillId="12" borderId="9" xfId="0" applyFont="1" applyFill="1" applyBorder="1" applyAlignment="1">
      <alignment horizontal="left" vertical="top" wrapText="1"/>
    </xf>
    <xf numFmtId="0" fontId="6" fillId="12" borderId="54" xfId="0" applyFont="1" applyFill="1" applyBorder="1" applyAlignment="1">
      <alignment vertical="top" wrapText="1"/>
    </xf>
    <xf numFmtId="1" fontId="6" fillId="12" borderId="60" xfId="0" applyNumberFormat="1" applyFont="1" applyFill="1" applyBorder="1" applyAlignment="1">
      <alignment horizontal="center" vertical="top"/>
    </xf>
    <xf numFmtId="1" fontId="6" fillId="12" borderId="47" xfId="0" applyNumberFormat="1" applyFont="1" applyFill="1" applyBorder="1" applyAlignment="1">
      <alignment horizontal="center" vertical="top"/>
    </xf>
    <xf numFmtId="1" fontId="6" fillId="12" borderId="54" xfId="0" applyNumberFormat="1" applyFont="1" applyFill="1" applyBorder="1" applyAlignment="1">
      <alignment horizontal="center" vertical="top"/>
    </xf>
    <xf numFmtId="0" fontId="6" fillId="12" borderId="8" xfId="0" applyFont="1" applyFill="1" applyBorder="1" applyAlignment="1">
      <alignment vertical="top"/>
    </xf>
    <xf numFmtId="0" fontId="6" fillId="12" borderId="33" xfId="0" applyFont="1" applyFill="1" applyBorder="1" applyAlignment="1">
      <alignment vertical="top"/>
    </xf>
    <xf numFmtId="0" fontId="6" fillId="12" borderId="60" xfId="0" applyFont="1" applyFill="1" applyBorder="1" applyAlignment="1">
      <alignment vertical="top"/>
    </xf>
    <xf numFmtId="0" fontId="6" fillId="12" borderId="58" xfId="0" applyFont="1" applyFill="1" applyBorder="1" applyAlignment="1">
      <alignment vertical="top"/>
    </xf>
    <xf numFmtId="1" fontId="6" fillId="12" borderId="40" xfId="0" applyNumberFormat="1" applyFont="1" applyFill="1" applyBorder="1" applyAlignment="1">
      <alignment horizontal="center" vertical="top"/>
    </xf>
    <xf numFmtId="1" fontId="6" fillId="12" borderId="50" xfId="0" applyNumberFormat="1" applyFont="1" applyFill="1" applyBorder="1" applyAlignment="1">
      <alignment horizontal="center" vertical="top"/>
    </xf>
    <xf numFmtId="1" fontId="6" fillId="12" borderId="49" xfId="0" applyNumberFormat="1" applyFont="1" applyFill="1" applyBorder="1" applyAlignment="1">
      <alignment horizontal="center" vertical="top"/>
    </xf>
    <xf numFmtId="1" fontId="7" fillId="12" borderId="28" xfId="0" applyNumberFormat="1" applyFont="1" applyFill="1" applyBorder="1" applyAlignment="1">
      <alignment vertical="top"/>
    </xf>
    <xf numFmtId="1" fontId="7" fillId="12" borderId="34" xfId="0" applyNumberFormat="1" applyFont="1" applyFill="1" applyBorder="1" applyAlignment="1">
      <alignment vertical="top"/>
    </xf>
    <xf numFmtId="1" fontId="7" fillId="12" borderId="57" xfId="0" applyNumberFormat="1" applyFont="1" applyFill="1" applyBorder="1" applyAlignment="1">
      <alignment vertical="top"/>
    </xf>
    <xf numFmtId="1" fontId="7" fillId="12" borderId="12" xfId="0" applyNumberFormat="1" applyFont="1" applyFill="1" applyBorder="1" applyAlignment="1">
      <alignment vertical="top"/>
    </xf>
    <xf numFmtId="0" fontId="6" fillId="12" borderId="30" xfId="0" applyFont="1" applyFill="1" applyBorder="1" applyAlignment="1">
      <alignment vertical="top" wrapText="1"/>
    </xf>
    <xf numFmtId="1" fontId="6" fillId="12" borderId="44" xfId="0" applyNumberFormat="1" applyFont="1" applyFill="1" applyBorder="1" applyAlignment="1">
      <alignment horizontal="center" vertical="top"/>
    </xf>
    <xf numFmtId="1" fontId="6" fillId="12" borderId="31" xfId="0" applyNumberFormat="1" applyFont="1" applyFill="1" applyBorder="1" applyAlignment="1">
      <alignment horizontal="center" vertical="top"/>
    </xf>
    <xf numFmtId="0" fontId="6" fillId="12" borderId="9" xfId="0" applyFont="1" applyFill="1" applyBorder="1" applyAlignment="1">
      <alignment vertical="top" wrapText="1"/>
    </xf>
    <xf numFmtId="1" fontId="6" fillId="12" borderId="8" xfId="0" applyNumberFormat="1" applyFont="1" applyFill="1" applyBorder="1" applyAlignment="1">
      <alignment horizontal="center" vertical="top"/>
    </xf>
    <xf numFmtId="1" fontId="6" fillId="12" borderId="33" xfId="0" applyNumberFormat="1" applyFont="1" applyFill="1" applyBorder="1" applyAlignment="1">
      <alignment horizontal="center" vertical="top"/>
    </xf>
    <xf numFmtId="3" fontId="6" fillId="12" borderId="49" xfId="0" applyNumberFormat="1" applyFont="1" applyFill="1" applyBorder="1" applyAlignment="1">
      <alignment horizontal="center" vertical="top" wrapText="1"/>
    </xf>
    <xf numFmtId="3" fontId="6" fillId="12" borderId="52" xfId="0" applyNumberFormat="1" applyFont="1" applyFill="1" applyBorder="1" applyAlignment="1">
      <alignment horizontal="center" vertical="top" wrapText="1"/>
    </xf>
    <xf numFmtId="3" fontId="6" fillId="12" borderId="53" xfId="0" applyNumberFormat="1" applyFont="1" applyFill="1" applyBorder="1" applyAlignment="1">
      <alignment horizontal="center" vertical="top" wrapText="1"/>
    </xf>
    <xf numFmtId="0" fontId="6" fillId="12" borderId="24" xfId="0" applyFont="1" applyFill="1" applyBorder="1" applyAlignment="1">
      <alignment vertical="top"/>
    </xf>
    <xf numFmtId="1" fontId="7" fillId="12" borderId="64" xfId="0" applyNumberFormat="1" applyFont="1" applyFill="1" applyBorder="1" applyAlignment="1">
      <alignment vertical="top"/>
    </xf>
    <xf numFmtId="1" fontId="7" fillId="12" borderId="53" xfId="0" applyNumberFormat="1" applyFont="1" applyFill="1" applyBorder="1" applyAlignment="1">
      <alignment vertical="top"/>
    </xf>
    <xf numFmtId="0" fontId="6" fillId="12" borderId="42" xfId="0" applyFont="1" applyFill="1" applyBorder="1" applyAlignment="1">
      <alignment vertical="top" wrapText="1"/>
    </xf>
    <xf numFmtId="1" fontId="6" fillId="12" borderId="61" xfId="0" applyNumberFormat="1" applyFont="1" applyFill="1" applyBorder="1" applyAlignment="1">
      <alignment horizontal="center" vertical="top"/>
    </xf>
    <xf numFmtId="1" fontId="6" fillId="12" borderId="43" xfId="0" applyNumberFormat="1" applyFont="1" applyFill="1" applyBorder="1" applyAlignment="1">
      <alignment horizontal="center" vertical="top"/>
    </xf>
    <xf numFmtId="1" fontId="6" fillId="12" borderId="6" xfId="0" applyNumberFormat="1" applyFont="1" applyFill="1" applyBorder="1" applyAlignment="1">
      <alignment horizontal="center" vertical="top"/>
    </xf>
    <xf numFmtId="0" fontId="6" fillId="12" borderId="35" xfId="0" applyFont="1" applyFill="1" applyBorder="1" applyAlignment="1">
      <alignment vertical="top"/>
    </xf>
    <xf numFmtId="0" fontId="6" fillId="12" borderId="55" xfId="0" applyFont="1" applyFill="1" applyBorder="1" applyAlignment="1">
      <alignment vertical="top" wrapText="1"/>
    </xf>
    <xf numFmtId="1" fontId="6" fillId="12" borderId="63" xfId="0" applyNumberFormat="1" applyFont="1" applyFill="1" applyBorder="1" applyAlignment="1">
      <alignment horizontal="center" vertical="top"/>
    </xf>
    <xf numFmtId="1" fontId="6" fillId="12" borderId="66" xfId="0" applyNumberFormat="1" applyFont="1" applyFill="1" applyBorder="1" applyAlignment="1">
      <alignment horizontal="center" vertical="top"/>
    </xf>
    <xf numFmtId="1" fontId="6" fillId="12" borderId="10" xfId="0" applyNumberFormat="1" applyFont="1" applyFill="1" applyBorder="1" applyAlignment="1">
      <alignment horizontal="center" vertical="top"/>
    </xf>
    <xf numFmtId="3" fontId="6" fillId="12" borderId="40" xfId="0" applyNumberFormat="1" applyFont="1" applyFill="1" applyBorder="1" applyAlignment="1">
      <alignment horizontal="center" vertical="top"/>
    </xf>
    <xf numFmtId="165" fontId="6" fillId="12" borderId="0" xfId="0" applyNumberFormat="1" applyFont="1" applyFill="1" applyAlignment="1">
      <alignment vertical="top" wrapText="1"/>
    </xf>
    <xf numFmtId="1" fontId="7" fillId="12" borderId="21" xfId="0" applyNumberFormat="1" applyFont="1" applyFill="1" applyBorder="1" applyAlignment="1">
      <alignment vertical="top"/>
    </xf>
    <xf numFmtId="1" fontId="7" fillId="12" borderId="18" xfId="0" applyNumberFormat="1" applyFont="1" applyFill="1" applyBorder="1" applyAlignment="1">
      <alignment vertical="top"/>
    </xf>
    <xf numFmtId="1" fontId="7" fillId="12" borderId="65" xfId="0" applyNumberFormat="1" applyFont="1" applyFill="1" applyBorder="1" applyAlignment="1">
      <alignment vertical="top"/>
    </xf>
    <xf numFmtId="1" fontId="7" fillId="12" borderId="70" xfId="0" applyNumberFormat="1" applyFont="1" applyFill="1" applyBorder="1" applyAlignment="1">
      <alignment vertical="top"/>
    </xf>
    <xf numFmtId="0" fontId="6" fillId="12" borderId="39" xfId="0" applyFont="1" applyFill="1" applyBorder="1" applyAlignment="1">
      <alignment vertical="top" wrapText="1"/>
    </xf>
    <xf numFmtId="1" fontId="6" fillId="12" borderId="17" xfId="0" applyNumberFormat="1" applyFont="1" applyFill="1" applyBorder="1" applyAlignment="1">
      <alignment horizontal="center" vertical="top"/>
    </xf>
    <xf numFmtId="0" fontId="6" fillId="12" borderId="37" xfId="0" applyFont="1" applyFill="1" applyBorder="1" applyAlignment="1">
      <alignment vertical="top"/>
    </xf>
    <xf numFmtId="0" fontId="6" fillId="12" borderId="69" xfId="0" applyFont="1" applyFill="1" applyBorder="1" applyAlignment="1">
      <alignment vertical="top" wrapText="1"/>
    </xf>
    <xf numFmtId="1" fontId="6" fillId="12" borderId="68" xfId="0" applyNumberFormat="1" applyFont="1" applyFill="1" applyBorder="1" applyAlignment="1">
      <alignment horizontal="center" vertical="top"/>
    </xf>
    <xf numFmtId="0" fontId="6" fillId="12" borderId="66" xfId="0" applyFont="1" applyFill="1" applyBorder="1" applyAlignment="1">
      <alignment vertical="top"/>
    </xf>
    <xf numFmtId="0" fontId="6" fillId="12" borderId="12" xfId="0" applyFont="1" applyFill="1" applyBorder="1" applyAlignment="1">
      <alignment vertical="top"/>
    </xf>
    <xf numFmtId="3" fontId="7" fillId="12" borderId="40" xfId="0" applyNumberFormat="1" applyFont="1" applyFill="1" applyBorder="1" applyAlignment="1">
      <alignment horizontal="center" vertical="top"/>
    </xf>
    <xf numFmtId="3" fontId="7" fillId="12" borderId="25" xfId="0" applyNumberFormat="1" applyFont="1" applyFill="1" applyBorder="1" applyAlignment="1">
      <alignment horizontal="center" vertical="top"/>
    </xf>
    <xf numFmtId="0" fontId="7" fillId="12" borderId="40" xfId="0" applyFont="1" applyFill="1" applyBorder="1" applyAlignment="1">
      <alignment vertical="top"/>
    </xf>
    <xf numFmtId="0" fontId="7" fillId="12" borderId="25" xfId="0" applyFont="1" applyFill="1" applyBorder="1" applyAlignment="1">
      <alignment vertical="top"/>
    </xf>
    <xf numFmtId="0" fontId="6" fillId="12" borderId="59" xfId="0" applyFont="1" applyFill="1" applyBorder="1" applyAlignment="1">
      <alignment horizontal="center" vertical="top"/>
    </xf>
    <xf numFmtId="0" fontId="6" fillId="12" borderId="44" xfId="0" applyFont="1" applyFill="1" applyBorder="1" applyAlignment="1">
      <alignment vertical="top" wrapText="1"/>
    </xf>
    <xf numFmtId="0" fontId="6" fillId="12" borderId="31" xfId="0" applyFont="1" applyFill="1" applyBorder="1" applyAlignment="1">
      <alignment vertical="top" wrapText="1"/>
    </xf>
    <xf numFmtId="0" fontId="6" fillId="12" borderId="60" xfId="0" applyFont="1" applyFill="1" applyBorder="1" applyAlignment="1">
      <alignment horizontal="center" vertical="top"/>
    </xf>
    <xf numFmtId="0" fontId="6" fillId="12" borderId="8" xfId="0" applyFont="1" applyFill="1" applyBorder="1" applyAlignment="1">
      <alignment vertical="top" wrapText="1"/>
    </xf>
    <xf numFmtId="0" fontId="6" fillId="12" borderId="33" xfId="0" applyFont="1" applyFill="1" applyBorder="1" applyAlignment="1">
      <alignment vertical="top" wrapText="1"/>
    </xf>
    <xf numFmtId="1" fontId="6" fillId="12" borderId="58" xfId="0" applyNumberFormat="1" applyFont="1" applyFill="1" applyBorder="1" applyAlignment="1">
      <alignment horizontal="center" vertical="top"/>
    </xf>
    <xf numFmtId="0" fontId="6" fillId="12" borderId="47" xfId="0" applyFont="1" applyFill="1" applyBorder="1" applyAlignment="1">
      <alignment vertical="top"/>
    </xf>
    <xf numFmtId="0" fontId="6" fillId="12" borderId="6" xfId="0" applyFont="1" applyFill="1" applyBorder="1" applyAlignment="1">
      <alignment vertical="top" wrapText="1"/>
    </xf>
    <xf numFmtId="164" fontId="7" fillId="12" borderId="49" xfId="2" applyFont="1" applyFill="1" applyBorder="1" applyAlignment="1">
      <alignment vertical="top"/>
    </xf>
    <xf numFmtId="0" fontId="7" fillId="12" borderId="44" xfId="0" applyFont="1" applyFill="1" applyBorder="1" applyAlignment="1">
      <alignment horizontal="center" vertical="top"/>
    </xf>
    <xf numFmtId="0" fontId="7" fillId="12" borderId="30" xfId="0" applyFont="1" applyFill="1" applyBorder="1" applyAlignment="1">
      <alignment horizontal="center" vertical="top" wrapText="1"/>
    </xf>
    <xf numFmtId="0" fontId="7" fillId="12" borderId="30" xfId="0" applyFont="1" applyFill="1" applyBorder="1" applyAlignment="1">
      <alignment vertical="top" wrapText="1"/>
    </xf>
    <xf numFmtId="0" fontId="6" fillId="12" borderId="9" xfId="0" applyFont="1" applyFill="1" applyBorder="1" applyAlignment="1">
      <alignment horizontal="justify" vertical="center"/>
    </xf>
    <xf numFmtId="0" fontId="6" fillId="12" borderId="9" xfId="0" applyFont="1" applyFill="1" applyBorder="1" applyAlignment="1">
      <alignment horizontal="center" vertical="top" wrapText="1"/>
    </xf>
    <xf numFmtId="1" fontId="6" fillId="12" borderId="9" xfId="0" applyNumberFormat="1" applyFont="1" applyFill="1" applyBorder="1" applyAlignment="1">
      <alignment horizontal="center" vertical="top"/>
    </xf>
    <xf numFmtId="0" fontId="7" fillId="12" borderId="24" xfId="0" applyFont="1" applyFill="1" applyBorder="1" applyAlignment="1">
      <alignment horizontal="center" vertical="top"/>
    </xf>
    <xf numFmtId="0" fontId="6" fillId="12" borderId="25" xfId="0" applyFont="1" applyFill="1" applyBorder="1" applyAlignment="1">
      <alignment horizontal="center" vertical="top"/>
    </xf>
    <xf numFmtId="164" fontId="7" fillId="12" borderId="59" xfId="2" applyFont="1" applyFill="1" applyBorder="1" applyAlignment="1">
      <alignment horizontal="center" vertical="top" wrapText="1"/>
    </xf>
    <xf numFmtId="164" fontId="6" fillId="12" borderId="62" xfId="2" applyFont="1" applyFill="1" applyBorder="1" applyAlignment="1">
      <alignment horizontal="center" vertical="top"/>
    </xf>
    <xf numFmtId="1" fontId="7" fillId="12" borderId="59" xfId="0" applyNumberFormat="1" applyFont="1" applyFill="1" applyBorder="1" applyAlignment="1">
      <alignment horizontal="center" vertical="top"/>
    </xf>
    <xf numFmtId="0" fontId="1" fillId="7" borderId="3" xfId="0" applyFont="1" applyFill="1" applyBorder="1" applyAlignment="1">
      <alignment horizontal="center" vertical="top"/>
    </xf>
    <xf numFmtId="0" fontId="1" fillId="7" borderId="4" xfId="0" applyFont="1" applyFill="1" applyBorder="1" applyAlignment="1">
      <alignment horizontal="center" vertical="top"/>
    </xf>
    <xf numFmtId="0" fontId="1" fillId="7" borderId="5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8" borderId="3" xfId="0" applyFont="1" applyFill="1" applyBorder="1" applyAlignment="1">
      <alignment horizontal="center" vertical="top"/>
    </xf>
    <xf numFmtId="0" fontId="1" fillId="8" borderId="4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4" fillId="9" borderId="12" xfId="0" applyFont="1" applyFill="1" applyBorder="1" applyAlignment="1">
      <alignment horizontal="center" vertical="top" wrapText="1"/>
    </xf>
    <xf numFmtId="0" fontId="4" fillId="9" borderId="14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/>
    </xf>
    <xf numFmtId="1" fontId="4" fillId="9" borderId="3" xfId="0" applyNumberFormat="1" applyFont="1" applyFill="1" applyBorder="1" applyAlignment="1">
      <alignment horizontal="center" wrapText="1"/>
    </xf>
    <xf numFmtId="1" fontId="4" fillId="9" borderId="5" xfId="0" applyNumberFormat="1" applyFont="1" applyFill="1" applyBorder="1" applyAlignment="1">
      <alignment horizontal="center" wrapText="1"/>
    </xf>
    <xf numFmtId="0" fontId="4" fillId="9" borderId="15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9" borderId="7" xfId="0" applyFont="1" applyFill="1" applyBorder="1" applyAlignment="1">
      <alignment horizontal="center" vertical="top" wrapText="1"/>
    </xf>
    <xf numFmtId="0" fontId="4" fillId="9" borderId="8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wrapText="1"/>
    </xf>
    <xf numFmtId="167" fontId="4" fillId="9" borderId="10" xfId="0" applyNumberFormat="1" applyFont="1" applyFill="1" applyBorder="1" applyAlignment="1">
      <alignment horizontal="center" vertical="top" wrapText="1"/>
    </xf>
    <xf numFmtId="167" fontId="4" fillId="9" borderId="13" xfId="0" applyNumberFormat="1" applyFont="1" applyFill="1" applyBorder="1" applyAlignment="1">
      <alignment horizontal="center" vertical="top" wrapText="1"/>
    </xf>
    <xf numFmtId="9" fontId="1" fillId="0" borderId="21" xfId="0" applyNumberFormat="1" applyFont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165" fontId="1" fillId="0" borderId="23" xfId="0" applyNumberFormat="1" applyFont="1" applyBorder="1" applyAlignment="1">
      <alignment horizontal="center" wrapText="1"/>
    </xf>
    <xf numFmtId="165" fontId="1" fillId="0" borderId="24" xfId="0" applyNumberFormat="1" applyFont="1" applyBorder="1" applyAlignment="1">
      <alignment horizontal="center" wrapText="1"/>
    </xf>
    <xf numFmtId="165" fontId="1" fillId="0" borderId="25" xfId="0" applyNumberFormat="1" applyFont="1" applyBorder="1" applyAlignment="1">
      <alignment horizontal="center" wrapText="1"/>
    </xf>
    <xf numFmtId="9" fontId="1" fillId="0" borderId="20" xfId="0" applyNumberFormat="1" applyFont="1" applyBorder="1" applyAlignment="1">
      <alignment horizontal="center" vertical="center" wrapText="1"/>
    </xf>
    <xf numFmtId="9" fontId="1" fillId="0" borderId="22" xfId="0" applyNumberFormat="1" applyFont="1" applyBorder="1" applyAlignment="1">
      <alignment horizontal="center" vertical="center" wrapText="1"/>
    </xf>
    <xf numFmtId="9" fontId="1" fillId="0" borderId="20" xfId="0" applyNumberFormat="1" applyFont="1" applyBorder="1" applyAlignment="1">
      <alignment horizontal="center" vertical="center"/>
    </xf>
    <xf numFmtId="167" fontId="4" fillId="9" borderId="6" xfId="0" applyNumberFormat="1" applyFont="1" applyFill="1" applyBorder="1" applyAlignment="1">
      <alignment horizontal="center" vertical="top" wrapText="1"/>
    </xf>
    <xf numFmtId="0" fontId="7" fillId="12" borderId="20" xfId="0" applyFont="1" applyFill="1" applyBorder="1" applyAlignment="1">
      <alignment horizontal="center" vertical="top" wrapText="1"/>
    </xf>
    <xf numFmtId="0" fontId="7" fillId="12" borderId="22" xfId="0" applyFont="1" applyFill="1" applyBorder="1" applyAlignment="1">
      <alignment horizontal="center" vertical="top" wrapText="1"/>
    </xf>
    <xf numFmtId="0" fontId="6" fillId="12" borderId="23" xfId="0" applyFont="1" applyFill="1" applyBorder="1" applyAlignment="1">
      <alignment horizontal="center" vertical="top"/>
    </xf>
    <xf numFmtId="1" fontId="7" fillId="12" borderId="22" xfId="0" applyNumberFormat="1" applyFont="1" applyFill="1" applyBorder="1" applyAlignment="1">
      <alignment horizontal="center" vertical="top" wrapText="1"/>
    </xf>
    <xf numFmtId="0" fontId="7" fillId="12" borderId="13" xfId="0" applyFont="1" applyFill="1" applyBorder="1" applyAlignment="1">
      <alignment horizontal="center" vertical="top" wrapText="1"/>
    </xf>
    <xf numFmtId="0" fontId="7" fillId="12" borderId="41" xfId="0" applyFont="1" applyFill="1" applyBorder="1" applyAlignment="1">
      <alignment horizontal="center" vertical="top"/>
    </xf>
    <xf numFmtId="0" fontId="7" fillId="12" borderId="45" xfId="0" applyFont="1" applyFill="1" applyBorder="1" applyAlignment="1">
      <alignment horizontal="center" vertical="top"/>
    </xf>
    <xf numFmtId="0" fontId="6" fillId="12" borderId="24" xfId="0" applyFont="1" applyFill="1" applyBorder="1" applyAlignment="1">
      <alignment horizontal="center" vertical="top"/>
    </xf>
    <xf numFmtId="0" fontId="7" fillId="12" borderId="23" xfId="0" applyFont="1" applyFill="1" applyBorder="1" applyAlignment="1">
      <alignment horizontal="center" vertical="top"/>
    </xf>
    <xf numFmtId="0" fontId="7" fillId="12" borderId="25" xfId="0" applyFont="1" applyFill="1" applyBorder="1" applyAlignment="1">
      <alignment horizontal="center" vertical="top"/>
    </xf>
    <xf numFmtId="1" fontId="7" fillId="12" borderId="20" xfId="0" applyNumberFormat="1" applyFont="1" applyFill="1" applyBorder="1" applyAlignment="1">
      <alignment horizontal="center" vertical="top" wrapText="1"/>
    </xf>
    <xf numFmtId="0" fontId="6" fillId="12" borderId="50" xfId="0" applyFont="1" applyFill="1" applyBorder="1" applyAlignment="1">
      <alignment horizontal="center" vertical="top"/>
    </xf>
    <xf numFmtId="0" fontId="7" fillId="12" borderId="28" xfId="0" applyFont="1" applyFill="1" applyBorder="1" applyAlignment="1">
      <alignment horizontal="center" vertical="top"/>
    </xf>
    <xf numFmtId="0" fontId="7" fillId="12" borderId="56" xfId="0" applyFont="1" applyFill="1" applyBorder="1" applyAlignment="1">
      <alignment horizontal="center" vertical="top" wrapText="1"/>
    </xf>
    <xf numFmtId="0" fontId="7" fillId="12" borderId="51" xfId="0" applyFont="1" applyFill="1" applyBorder="1" applyAlignment="1">
      <alignment horizontal="center" vertical="top" wrapText="1"/>
    </xf>
    <xf numFmtId="0" fontId="7" fillId="12" borderId="29" xfId="0" applyFont="1" applyFill="1" applyBorder="1" applyAlignment="1">
      <alignment horizontal="center" vertical="top" wrapText="1"/>
    </xf>
    <xf numFmtId="0" fontId="7" fillId="12" borderId="28" xfId="0" applyFont="1" applyFill="1" applyBorder="1" applyAlignment="1">
      <alignment horizontal="center" vertical="top" wrapText="1"/>
    </xf>
    <xf numFmtId="0" fontId="7" fillId="12" borderId="45" xfId="0" applyFont="1" applyFill="1" applyBorder="1" applyAlignment="1">
      <alignment horizontal="center" vertical="top" wrapText="1"/>
    </xf>
    <xf numFmtId="0" fontId="7" fillId="12" borderId="38" xfId="0" applyFont="1" applyFill="1" applyBorder="1" applyAlignment="1">
      <alignment horizontal="center" vertical="top"/>
    </xf>
    <xf numFmtId="0" fontId="7" fillId="12" borderId="46" xfId="0" applyFont="1" applyFill="1" applyBorder="1" applyAlignment="1">
      <alignment horizontal="center" vertical="top"/>
    </xf>
    <xf numFmtId="1" fontId="7" fillId="12" borderId="51" xfId="0" applyNumberFormat="1" applyFont="1" applyFill="1" applyBorder="1" applyAlignment="1">
      <alignment horizontal="center" vertical="top" wrapText="1"/>
    </xf>
    <xf numFmtId="1" fontId="6" fillId="12" borderId="3" xfId="0" applyNumberFormat="1" applyFont="1" applyFill="1" applyBorder="1" applyAlignment="1">
      <alignment horizontal="center" vertical="top" wrapText="1"/>
    </xf>
    <xf numFmtId="1" fontId="6" fillId="12" borderId="54" xfId="0" applyNumberFormat="1" applyFont="1" applyFill="1" applyBorder="1" applyAlignment="1">
      <alignment horizontal="center" vertical="top" wrapText="1"/>
    </xf>
    <xf numFmtId="0" fontId="6" fillId="12" borderId="40" xfId="0" applyFont="1" applyFill="1" applyBorder="1" applyAlignment="1">
      <alignment horizontal="center" vertical="top"/>
    </xf>
    <xf numFmtId="164" fontId="6" fillId="12" borderId="60" xfId="2" applyFont="1" applyFill="1" applyBorder="1" applyAlignment="1">
      <alignment horizontal="center" vertical="top"/>
    </xf>
    <xf numFmtId="164" fontId="6" fillId="12" borderId="40" xfId="2" applyFont="1" applyFill="1" applyBorder="1" applyAlignment="1">
      <alignment horizontal="center" vertical="top"/>
    </xf>
    <xf numFmtId="1" fontId="7" fillId="12" borderId="59" xfId="0" applyNumberFormat="1" applyFont="1" applyFill="1" applyBorder="1" applyAlignment="1">
      <alignment horizontal="center" vertical="top" wrapText="1"/>
    </xf>
    <xf numFmtId="1" fontId="6" fillId="12" borderId="62" xfId="0" applyNumberFormat="1" applyFont="1" applyFill="1" applyBorder="1" applyAlignment="1">
      <alignment horizontal="center" vertical="top" wrapText="1"/>
    </xf>
    <xf numFmtId="1" fontId="6" fillId="12" borderId="60" xfId="0" applyNumberFormat="1" applyFont="1" applyFill="1" applyBorder="1" applyAlignment="1">
      <alignment horizontal="center" vertical="top" wrapText="1"/>
    </xf>
    <xf numFmtId="0" fontId="6" fillId="12" borderId="71" xfId="0" applyFont="1" applyFill="1" applyBorder="1" applyAlignment="1">
      <alignment vertical="top"/>
    </xf>
    <xf numFmtId="0" fontId="7" fillId="12" borderId="40" xfId="0" applyFont="1" applyFill="1" applyBorder="1" applyAlignment="1">
      <alignment horizontal="center" vertical="top"/>
    </xf>
    <xf numFmtId="0" fontId="6" fillId="12" borderId="68" xfId="0" applyFont="1" applyFill="1" applyBorder="1" applyAlignment="1">
      <alignment vertical="top"/>
    </xf>
    <xf numFmtId="1" fontId="7" fillId="12" borderId="20" xfId="0" applyNumberFormat="1" applyFont="1" applyFill="1" applyBorder="1" applyAlignment="1">
      <alignment horizontal="center" vertical="top"/>
    </xf>
    <xf numFmtId="164" fontId="7" fillId="12" borderId="20" xfId="2" applyFont="1" applyFill="1" applyBorder="1" applyAlignment="1">
      <alignment horizontal="center" vertical="top" wrapText="1"/>
    </xf>
    <xf numFmtId="1" fontId="7" fillId="12" borderId="22" xfId="0" applyNumberFormat="1" applyFont="1" applyFill="1" applyBorder="1" applyAlignment="1">
      <alignment horizontal="center" vertical="top"/>
    </xf>
    <xf numFmtId="164" fontId="7" fillId="12" borderId="22" xfId="2" applyFont="1" applyFill="1" applyBorder="1" applyAlignment="1">
      <alignment horizontal="center" vertical="top" wrapText="1"/>
    </xf>
    <xf numFmtId="1" fontId="7" fillId="12" borderId="38" xfId="0" applyNumberFormat="1" applyFont="1" applyFill="1" applyBorder="1" applyAlignment="1">
      <alignment horizontal="center" vertical="top" wrapText="1"/>
    </xf>
    <xf numFmtId="1" fontId="7" fillId="12" borderId="46" xfId="0" applyNumberFormat="1" applyFont="1" applyFill="1" applyBorder="1" applyAlignment="1">
      <alignment horizontal="center" vertical="top" wrapText="1"/>
    </xf>
    <xf numFmtId="0" fontId="6" fillId="12" borderId="4" xfId="0" applyFont="1" applyFill="1" applyBorder="1" applyAlignment="1">
      <alignment vertical="top"/>
    </xf>
    <xf numFmtId="0" fontId="6" fillId="12" borderId="72" xfId="0" applyFont="1" applyFill="1" applyBorder="1" applyAlignment="1">
      <alignment vertical="top"/>
    </xf>
    <xf numFmtId="0" fontId="6" fillId="12" borderId="1" xfId="0" applyFont="1" applyFill="1" applyBorder="1" applyAlignment="1">
      <alignment vertical="top"/>
    </xf>
    <xf numFmtId="164" fontId="7" fillId="12" borderId="60" xfId="2" applyFont="1" applyFill="1" applyBorder="1" applyAlignment="1">
      <alignment horizontal="center" vertical="top" wrapText="1"/>
    </xf>
    <xf numFmtId="1" fontId="7" fillId="12" borderId="56" xfId="0" applyNumberFormat="1" applyFont="1" applyFill="1" applyBorder="1" applyAlignment="1">
      <alignment horizontal="center" vertical="top" wrapText="1"/>
    </xf>
    <xf numFmtId="0" fontId="6" fillId="12" borderId="10" xfId="0" applyFont="1" applyFill="1" applyBorder="1" applyAlignment="1">
      <alignment vertical="top" wrapText="1"/>
    </xf>
    <xf numFmtId="1" fontId="6" fillId="12" borderId="12" xfId="0" applyNumberFormat="1" applyFont="1" applyFill="1" applyBorder="1" applyAlignment="1">
      <alignment horizontal="center" vertical="top"/>
    </xf>
    <xf numFmtId="0" fontId="7" fillId="12" borderId="48" xfId="0" applyFont="1" applyFill="1" applyBorder="1" applyAlignment="1">
      <alignment horizontal="center" vertical="top" wrapText="1"/>
    </xf>
    <xf numFmtId="0" fontId="6" fillId="12" borderId="42" xfId="0" applyFont="1" applyFill="1" applyBorder="1" applyAlignment="1">
      <alignment horizontal="left" vertical="top" wrapText="1"/>
    </xf>
    <xf numFmtId="0" fontId="6" fillId="12" borderId="3" xfId="0" applyFont="1" applyFill="1" applyBorder="1" applyAlignment="1">
      <alignment horizontal="left" vertical="top" wrapText="1"/>
    </xf>
    <xf numFmtId="0" fontId="6" fillId="12" borderId="55" xfId="0" applyFont="1" applyFill="1" applyBorder="1" applyAlignment="1">
      <alignment horizontal="left" vertical="top" wrapText="1"/>
    </xf>
    <xf numFmtId="1" fontId="7" fillId="12" borderId="18" xfId="0" applyNumberFormat="1" applyFont="1" applyFill="1" applyBorder="1" applyAlignment="1">
      <alignment horizontal="center" vertical="top" wrapText="1"/>
    </xf>
    <xf numFmtId="1" fontId="7" fillId="12" borderId="19" xfId="0" applyNumberFormat="1" applyFont="1" applyFill="1" applyBorder="1" applyAlignment="1">
      <alignment horizontal="center" vertical="top" wrapText="1"/>
    </xf>
    <xf numFmtId="1" fontId="6" fillId="12" borderId="1" xfId="0" applyNumberFormat="1" applyFont="1" applyFill="1" applyBorder="1" applyAlignment="1">
      <alignment horizontal="center" vertical="top"/>
    </xf>
    <xf numFmtId="1" fontId="6" fillId="12" borderId="4" xfId="0" applyNumberFormat="1" applyFont="1" applyFill="1" applyBorder="1" applyAlignment="1">
      <alignment horizontal="center" vertical="top"/>
    </xf>
    <xf numFmtId="1" fontId="6" fillId="12" borderId="73" xfId="0" applyNumberFormat="1" applyFont="1" applyFill="1" applyBorder="1" applyAlignment="1">
      <alignment horizontal="center" vertical="top"/>
    </xf>
    <xf numFmtId="0" fontId="6" fillId="12" borderId="61" xfId="0" applyFont="1" applyFill="1" applyBorder="1" applyAlignment="1">
      <alignment horizontal="center" vertical="top" wrapText="1"/>
    </xf>
    <xf numFmtId="0" fontId="6" fillId="12" borderId="62" xfId="0" applyFont="1" applyFill="1" applyBorder="1" applyAlignment="1">
      <alignment horizontal="center" vertical="top" wrapText="1"/>
    </xf>
    <xf numFmtId="0" fontId="6" fillId="12" borderId="60" xfId="0" applyFont="1" applyFill="1" applyBorder="1" applyAlignment="1">
      <alignment horizontal="center" vertical="top" wrapText="1"/>
    </xf>
    <xf numFmtId="1" fontId="7" fillId="12" borderId="24" xfId="0" applyNumberFormat="1" applyFont="1" applyFill="1" applyBorder="1" applyAlignment="1">
      <alignment horizontal="center" vertical="top"/>
    </xf>
    <xf numFmtId="1" fontId="7" fillId="12" borderId="52" xfId="0" applyNumberFormat="1" applyFont="1" applyFill="1" applyBorder="1" applyAlignment="1">
      <alignment horizontal="center" vertical="top"/>
    </xf>
    <xf numFmtId="0" fontId="0" fillId="12" borderId="0" xfId="0" applyFill="1"/>
    <xf numFmtId="0" fontId="1" fillId="12" borderId="0" xfId="0" applyFont="1" applyFill="1"/>
    <xf numFmtId="1" fontId="7" fillId="12" borderId="36" xfId="0" applyNumberFormat="1" applyFont="1" applyFill="1" applyBorder="1" applyAlignment="1">
      <alignment horizontal="center" vertical="top" wrapText="1"/>
    </xf>
    <xf numFmtId="0" fontId="7" fillId="12" borderId="20" xfId="0" applyFont="1" applyFill="1" applyBorder="1" applyAlignment="1">
      <alignment horizontal="center" vertical="top" wrapText="1"/>
    </xf>
    <xf numFmtId="0" fontId="7" fillId="12" borderId="22" xfId="0" applyFont="1" applyFill="1" applyBorder="1" applyAlignment="1">
      <alignment horizontal="center" vertical="top" wrapText="1"/>
    </xf>
    <xf numFmtId="1" fontId="7" fillId="12" borderId="23" xfId="0" applyNumberFormat="1" applyFont="1" applyFill="1" applyBorder="1" applyAlignment="1">
      <alignment horizontal="center" vertical="top"/>
    </xf>
    <xf numFmtId="1" fontId="7" fillId="12" borderId="25" xfId="0" applyNumberFormat="1" applyFont="1" applyFill="1" applyBorder="1" applyAlignment="1">
      <alignment horizontal="center" vertical="top"/>
    </xf>
    <xf numFmtId="0" fontId="7" fillId="12" borderId="23" xfId="0" applyFont="1" applyFill="1" applyBorder="1" applyAlignment="1">
      <alignment horizontal="center" vertical="top" wrapText="1"/>
    </xf>
    <xf numFmtId="0" fontId="7" fillId="12" borderId="25" xfId="0" applyFont="1" applyFill="1" applyBorder="1" applyAlignment="1">
      <alignment horizontal="center" vertical="top" wrapText="1"/>
    </xf>
    <xf numFmtId="0" fontId="7" fillId="12" borderId="23" xfId="0" applyFont="1" applyFill="1" applyBorder="1" applyAlignment="1">
      <alignment horizontal="center" vertical="top"/>
    </xf>
    <xf numFmtId="0" fontId="7" fillId="12" borderId="24" xfId="0" applyFont="1" applyFill="1" applyBorder="1" applyAlignment="1">
      <alignment horizontal="center" vertical="top"/>
    </xf>
    <xf numFmtId="0" fontId="7" fillId="12" borderId="25" xfId="0" applyFont="1" applyFill="1" applyBorder="1" applyAlignment="1">
      <alignment horizontal="center" vertical="top"/>
    </xf>
    <xf numFmtId="0" fontId="7" fillId="12" borderId="34" xfId="0" applyFont="1" applyFill="1" applyBorder="1" applyAlignment="1">
      <alignment horizontal="center" vertical="top" wrapText="1"/>
    </xf>
    <xf numFmtId="0" fontId="7" fillId="12" borderId="14" xfId="0" applyFont="1" applyFill="1" applyBorder="1" applyAlignment="1">
      <alignment horizontal="center" vertical="top" wrapText="1"/>
    </xf>
    <xf numFmtId="0" fontId="7" fillId="12" borderId="29" xfId="0" applyFont="1" applyFill="1" applyBorder="1" applyAlignment="1">
      <alignment horizontal="center" vertical="top" wrapText="1"/>
    </xf>
    <xf numFmtId="0" fontId="7" fillId="12" borderId="13" xfId="0" applyFont="1" applyFill="1" applyBorder="1" applyAlignment="1">
      <alignment horizontal="center" vertical="top" wrapText="1"/>
    </xf>
    <xf numFmtId="0" fontId="7" fillId="12" borderId="28" xfId="0" applyFont="1" applyFill="1" applyBorder="1" applyAlignment="1">
      <alignment horizontal="center" vertical="top"/>
    </xf>
    <xf numFmtId="0" fontId="7" fillId="12" borderId="45" xfId="0" applyFont="1" applyFill="1" applyBorder="1" applyAlignment="1">
      <alignment horizontal="center" vertical="top"/>
    </xf>
    <xf numFmtId="1" fontId="7" fillId="12" borderId="15" xfId="0" applyNumberFormat="1" applyFont="1" applyFill="1" applyBorder="1" applyAlignment="1">
      <alignment horizontal="center" vertical="top" wrapText="1"/>
    </xf>
    <xf numFmtId="1" fontId="7" fillId="12" borderId="17" xfId="0" applyNumberFormat="1" applyFont="1" applyFill="1" applyBorder="1" applyAlignment="1">
      <alignment horizontal="center" vertical="top" wrapText="1"/>
    </xf>
    <xf numFmtId="0" fontId="7" fillId="12" borderId="15" xfId="0" applyFont="1" applyFill="1" applyBorder="1" applyAlignment="1">
      <alignment horizontal="center" vertical="top" wrapText="1"/>
    </xf>
    <xf numFmtId="0" fontId="7" fillId="12" borderId="17" xfId="0" applyFont="1" applyFill="1" applyBorder="1" applyAlignment="1">
      <alignment horizontal="center" vertical="top" wrapText="1"/>
    </xf>
    <xf numFmtId="1" fontId="7" fillId="12" borderId="23" xfId="0" applyNumberFormat="1" applyFont="1" applyFill="1" applyBorder="1" applyAlignment="1">
      <alignment horizontal="center" vertical="top" wrapText="1"/>
    </xf>
    <xf numFmtId="1" fontId="7" fillId="12" borderId="25" xfId="0" applyNumberFormat="1" applyFont="1" applyFill="1" applyBorder="1" applyAlignment="1">
      <alignment horizontal="center" vertical="top" wrapText="1"/>
    </xf>
    <xf numFmtId="0" fontId="6" fillId="12" borderId="23" xfId="0" applyFont="1" applyFill="1" applyBorder="1" applyAlignment="1">
      <alignment horizontal="center" vertical="top"/>
    </xf>
    <xf numFmtId="0" fontId="6" fillId="12" borderId="24" xfId="0" applyFont="1" applyFill="1" applyBorder="1" applyAlignment="1">
      <alignment horizontal="center" vertical="top"/>
    </xf>
    <xf numFmtId="0" fontId="6" fillId="12" borderId="25" xfId="0" applyFont="1" applyFill="1" applyBorder="1" applyAlignment="1">
      <alignment horizontal="center" vertical="top"/>
    </xf>
    <xf numFmtId="0" fontId="7" fillId="12" borderId="20" xfId="0" applyFont="1" applyFill="1" applyBorder="1" applyAlignment="1">
      <alignment horizontal="center" vertical="top"/>
    </xf>
    <xf numFmtId="0" fontId="7" fillId="12" borderId="22" xfId="0" applyFont="1" applyFill="1" applyBorder="1" applyAlignment="1">
      <alignment horizontal="center" vertical="top"/>
    </xf>
    <xf numFmtId="0" fontId="7" fillId="12" borderId="16" xfId="0" applyFont="1" applyFill="1" applyBorder="1" applyAlignment="1">
      <alignment horizontal="center" vertical="top" wrapText="1"/>
    </xf>
    <xf numFmtId="0" fontId="0" fillId="0" borderId="74" xfId="0" applyBorder="1" applyAlignment="1">
      <alignment horizontal="center"/>
    </xf>
    <xf numFmtId="0" fontId="0" fillId="0" borderId="74" xfId="0" applyBorder="1" applyAlignment="1">
      <alignment horizontal="center" wrapText="1"/>
    </xf>
  </cellXfs>
  <cellStyles count="3">
    <cellStyle name="Currency" xfId="2" builtinId="4"/>
    <cellStyle name="Normal" xfId="0" builtinId="0"/>
    <cellStyle name="Normal 3" xfId="1" xr:uid="{F263F959-D1E9-4A71-9861-3C64EF790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8"/>
  <sheetViews>
    <sheetView workbookViewId="0">
      <selection activeCell="N4" sqref="N4"/>
    </sheetView>
  </sheetViews>
  <sheetFormatPr defaultRowHeight="14.5" x14ac:dyDescent="0.35"/>
  <sheetData>
    <row r="2" spans="2:12" x14ac:dyDescent="0.35"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</row>
    <row r="3" spans="2:12" ht="43.5" x14ac:dyDescent="0.35">
      <c r="B3" s="2" t="s">
        <v>0</v>
      </c>
      <c r="C3" s="3" t="s">
        <v>1</v>
      </c>
      <c r="D3" s="3" t="s">
        <v>2</v>
      </c>
      <c r="E3" s="4" t="s">
        <v>3</v>
      </c>
      <c r="F3" s="5" t="s">
        <v>4</v>
      </c>
      <c r="G3" s="5" t="s">
        <v>5</v>
      </c>
      <c r="H3" s="74" t="s">
        <v>16</v>
      </c>
      <c r="I3" s="74" t="s">
        <v>17</v>
      </c>
      <c r="J3" s="74" t="s">
        <v>18</v>
      </c>
      <c r="K3" s="74"/>
      <c r="L3" s="6" t="s">
        <v>6</v>
      </c>
    </row>
    <row r="4" spans="2:12" ht="101.5" x14ac:dyDescent="0.35">
      <c r="B4" s="7">
        <v>1</v>
      </c>
      <c r="C4" s="8" t="s">
        <v>88</v>
      </c>
      <c r="D4" s="9" t="s">
        <v>7</v>
      </c>
      <c r="E4" s="10">
        <f>G4+F4</f>
        <v>136</v>
      </c>
      <c r="F4" s="10">
        <v>38</v>
      </c>
      <c r="G4" s="10">
        <v>98</v>
      </c>
      <c r="H4" s="11">
        <v>28452</v>
      </c>
      <c r="I4" s="11">
        <v>27367</v>
      </c>
      <c r="J4" s="11">
        <f>F4*H4+G4*I4</f>
        <v>3763142</v>
      </c>
      <c r="K4" s="11">
        <f>J4*12</f>
        <v>45157704</v>
      </c>
      <c r="L4" s="11">
        <f>J4*36</f>
        <v>135473112</v>
      </c>
    </row>
    <row r="5" spans="2:12" ht="116" x14ac:dyDescent="0.35">
      <c r="B5" s="7">
        <f>B4+1</f>
        <v>2</v>
      </c>
      <c r="C5" s="8" t="s">
        <v>89</v>
      </c>
      <c r="D5" s="9" t="s">
        <v>7</v>
      </c>
      <c r="E5" s="10">
        <f t="shared" ref="E5:E7" si="0">G5+F5</f>
        <v>232</v>
      </c>
      <c r="F5" s="10">
        <v>116</v>
      </c>
      <c r="G5" s="10">
        <v>116</v>
      </c>
      <c r="H5" s="11">
        <v>28452</v>
      </c>
      <c r="I5" s="11">
        <v>27367</v>
      </c>
      <c r="J5" s="11">
        <f t="shared" ref="J5:J7" si="1">F5*H5+G5*I5</f>
        <v>6475004</v>
      </c>
      <c r="K5" s="11">
        <f t="shared" ref="K5:K7" si="2">J5*12</f>
        <v>77700048</v>
      </c>
      <c r="L5" s="11">
        <f t="shared" ref="L5:L7" si="3">J5*36</f>
        <v>233100144</v>
      </c>
    </row>
    <row r="6" spans="2:12" ht="72.5" x14ac:dyDescent="0.35">
      <c r="B6" s="7">
        <f t="shared" ref="B6:B7" si="4">B5+1</f>
        <v>3</v>
      </c>
      <c r="C6" s="8" t="s">
        <v>90</v>
      </c>
      <c r="D6" s="9" t="s">
        <v>7</v>
      </c>
      <c r="E6" s="10">
        <f t="shared" si="0"/>
        <v>256</v>
      </c>
      <c r="F6" s="10">
        <v>124</v>
      </c>
      <c r="G6" s="10">
        <v>132</v>
      </c>
      <c r="H6" s="11">
        <v>28452</v>
      </c>
      <c r="I6" s="11">
        <v>27367</v>
      </c>
      <c r="J6" s="11">
        <f t="shared" si="1"/>
        <v>7140492</v>
      </c>
      <c r="K6" s="11">
        <f t="shared" si="2"/>
        <v>85685904</v>
      </c>
      <c r="L6" s="11">
        <f t="shared" si="3"/>
        <v>257057712</v>
      </c>
    </row>
    <row r="7" spans="2:12" ht="72.5" x14ac:dyDescent="0.35">
      <c r="B7" s="7">
        <f t="shared" si="4"/>
        <v>4</v>
      </c>
      <c r="C7" s="8" t="s">
        <v>91</v>
      </c>
      <c r="D7" s="9" t="s">
        <v>7</v>
      </c>
      <c r="E7" s="10">
        <f t="shared" si="0"/>
        <v>232</v>
      </c>
      <c r="F7" s="10">
        <v>26</v>
      </c>
      <c r="G7" s="10">
        <v>206</v>
      </c>
      <c r="H7" s="11">
        <v>28452</v>
      </c>
      <c r="I7" s="11">
        <v>27367</v>
      </c>
      <c r="J7" s="11">
        <f t="shared" si="1"/>
        <v>6377354</v>
      </c>
      <c r="K7" s="11">
        <f t="shared" si="2"/>
        <v>76528248</v>
      </c>
      <c r="L7" s="11">
        <f t="shared" si="3"/>
        <v>229584744</v>
      </c>
    </row>
    <row r="8" spans="2:12" x14ac:dyDescent="0.35">
      <c r="B8" s="265" t="s">
        <v>8</v>
      </c>
      <c r="C8" s="266"/>
      <c r="D8" s="267"/>
      <c r="E8" s="5">
        <f>F8+G8</f>
        <v>856</v>
      </c>
      <c r="F8" s="5">
        <f>SUM(F3:F7)</f>
        <v>304</v>
      </c>
      <c r="G8" s="5">
        <f>SUM(G4:G7)</f>
        <v>552</v>
      </c>
      <c r="H8" s="6"/>
      <c r="I8" s="6"/>
      <c r="J8" s="6">
        <f>J4+J5+J6+J7</f>
        <v>23755992</v>
      </c>
      <c r="K8" s="6">
        <f>K4+K5+K6+K7</f>
        <v>285071904</v>
      </c>
      <c r="L8" s="6">
        <f>L4+L5+L6+L7</f>
        <v>855215712</v>
      </c>
    </row>
    <row r="9" spans="2:12" ht="43.5" x14ac:dyDescent="0.35">
      <c r="B9" s="12" t="s">
        <v>0</v>
      </c>
      <c r="C9" s="13" t="s">
        <v>1</v>
      </c>
      <c r="D9" s="13" t="s">
        <v>2</v>
      </c>
      <c r="E9" s="14" t="s">
        <v>3</v>
      </c>
      <c r="F9" s="15" t="s">
        <v>4</v>
      </c>
      <c r="G9" s="15" t="s">
        <v>5</v>
      </c>
      <c r="H9" s="77" t="s">
        <v>16</v>
      </c>
      <c r="I9" s="77" t="s">
        <v>17</v>
      </c>
      <c r="J9" s="77" t="s">
        <v>18</v>
      </c>
      <c r="K9" s="77"/>
      <c r="L9" s="16" t="s">
        <v>6</v>
      </c>
    </row>
    <row r="10" spans="2:12" ht="409.5" x14ac:dyDescent="0.35">
      <c r="B10" s="17">
        <f>B7+1</f>
        <v>5</v>
      </c>
      <c r="C10" s="18" t="s">
        <v>92</v>
      </c>
      <c r="D10" s="19" t="s">
        <v>7</v>
      </c>
      <c r="E10" s="20">
        <f>F10+G10</f>
        <v>190</v>
      </c>
      <c r="F10" s="20">
        <v>90</v>
      </c>
      <c r="G10" s="20">
        <v>100</v>
      </c>
      <c r="H10" s="21">
        <v>28452</v>
      </c>
      <c r="I10" s="21">
        <v>27367</v>
      </c>
      <c r="J10" s="21">
        <f>H10*F10+G10*I10</f>
        <v>5297380</v>
      </c>
      <c r="K10" s="21">
        <f>J10*12</f>
        <v>63568560</v>
      </c>
      <c r="L10" s="21">
        <f>J10*32</f>
        <v>169516160</v>
      </c>
    </row>
    <row r="11" spans="2:12" ht="101.5" x14ac:dyDescent="0.35">
      <c r="B11" s="17">
        <f t="shared" ref="B11:B40" si="5">B10+1</f>
        <v>6</v>
      </c>
      <c r="C11" s="18" t="s">
        <v>93</v>
      </c>
      <c r="D11" s="19" t="s">
        <v>7</v>
      </c>
      <c r="E11" s="20">
        <f t="shared" ref="E11:E13" si="6">F11+G11</f>
        <v>200</v>
      </c>
      <c r="F11" s="20">
        <v>100</v>
      </c>
      <c r="G11" s="20">
        <v>100</v>
      </c>
      <c r="H11" s="21">
        <v>28452</v>
      </c>
      <c r="I11" s="21">
        <v>27367</v>
      </c>
      <c r="J11" s="21">
        <f t="shared" ref="J11:J13" si="7">H11*F11+G11*I11</f>
        <v>5581900</v>
      </c>
      <c r="K11" s="21">
        <f t="shared" ref="K11:K13" si="8">J11*12</f>
        <v>66982800</v>
      </c>
      <c r="L11" s="21">
        <f t="shared" ref="L11:L13" si="9">J11*32</f>
        <v>178620800</v>
      </c>
    </row>
    <row r="12" spans="2:12" ht="72.5" x14ac:dyDescent="0.35">
      <c r="B12" s="17">
        <f t="shared" si="5"/>
        <v>7</v>
      </c>
      <c r="C12" s="18" t="s">
        <v>94</v>
      </c>
      <c r="D12" s="19" t="s">
        <v>7</v>
      </c>
      <c r="E12" s="20">
        <f t="shared" si="6"/>
        <v>301</v>
      </c>
      <c r="F12" s="20">
        <v>136</v>
      </c>
      <c r="G12" s="20">
        <v>165</v>
      </c>
      <c r="H12" s="21">
        <v>28452</v>
      </c>
      <c r="I12" s="21">
        <v>27367</v>
      </c>
      <c r="J12" s="21">
        <f t="shared" si="7"/>
        <v>8385027</v>
      </c>
      <c r="K12" s="21">
        <f t="shared" si="8"/>
        <v>100620324</v>
      </c>
      <c r="L12" s="21">
        <f t="shared" si="9"/>
        <v>268320864</v>
      </c>
    </row>
    <row r="13" spans="2:12" ht="116" x14ac:dyDescent="0.35">
      <c r="B13" s="17">
        <f t="shared" si="5"/>
        <v>8</v>
      </c>
      <c r="C13" s="18" t="s">
        <v>95</v>
      </c>
      <c r="D13" s="19" t="s">
        <v>7</v>
      </c>
      <c r="E13" s="20">
        <f t="shared" si="6"/>
        <v>300</v>
      </c>
      <c r="F13" s="20">
        <v>135</v>
      </c>
      <c r="G13" s="20">
        <v>165</v>
      </c>
      <c r="H13" s="21">
        <v>28452</v>
      </c>
      <c r="I13" s="21">
        <v>27367</v>
      </c>
      <c r="J13" s="21">
        <f t="shared" si="7"/>
        <v>8356575</v>
      </c>
      <c r="K13" s="21">
        <f t="shared" si="8"/>
        <v>100278900</v>
      </c>
      <c r="L13" s="21">
        <f t="shared" si="9"/>
        <v>267410400</v>
      </c>
    </row>
    <row r="14" spans="2:12" x14ac:dyDescent="0.35">
      <c r="B14" s="268" t="s">
        <v>8</v>
      </c>
      <c r="C14" s="269"/>
      <c r="D14" s="270"/>
      <c r="E14" s="15">
        <f>F14+G14</f>
        <v>991</v>
      </c>
      <c r="F14" s="15">
        <f t="shared" ref="F14:G14" si="10">SUM(F10:F13)</f>
        <v>461</v>
      </c>
      <c r="G14" s="15">
        <f t="shared" si="10"/>
        <v>530</v>
      </c>
      <c r="H14" s="16"/>
      <c r="I14" s="16"/>
      <c r="J14" s="16">
        <f>J10+J11+J12+J13</f>
        <v>27620882</v>
      </c>
      <c r="K14" s="16">
        <f>K10+K11+K12+K13</f>
        <v>331450584</v>
      </c>
      <c r="L14" s="16">
        <f>L10+L11+L12+L13</f>
        <v>883868224</v>
      </c>
    </row>
    <row r="15" spans="2:12" ht="43.5" x14ac:dyDescent="0.35">
      <c r="B15" s="22" t="s">
        <v>0</v>
      </c>
      <c r="C15" s="23" t="s">
        <v>1</v>
      </c>
      <c r="D15" s="23" t="s">
        <v>2</v>
      </c>
      <c r="E15" s="24" t="s">
        <v>3</v>
      </c>
      <c r="F15" s="25" t="s">
        <v>4</v>
      </c>
      <c r="G15" s="25" t="s">
        <v>5</v>
      </c>
      <c r="H15" s="76" t="s">
        <v>16</v>
      </c>
      <c r="I15" s="76" t="s">
        <v>17</v>
      </c>
      <c r="J15" s="76" t="s">
        <v>18</v>
      </c>
      <c r="K15" s="76"/>
      <c r="L15" s="26" t="s">
        <v>6</v>
      </c>
    </row>
    <row r="16" spans="2:12" ht="101.5" x14ac:dyDescent="0.35">
      <c r="B16" s="27">
        <f>B13+1</f>
        <v>9</v>
      </c>
      <c r="C16" s="28" t="s">
        <v>96</v>
      </c>
      <c r="D16" s="29" t="s">
        <v>7</v>
      </c>
      <c r="E16" s="30">
        <f>F16+G16</f>
        <v>174</v>
      </c>
      <c r="F16" s="30">
        <v>84</v>
      </c>
      <c r="G16" s="30">
        <v>90</v>
      </c>
      <c r="H16" s="31">
        <v>28452</v>
      </c>
      <c r="I16" s="31">
        <v>27367</v>
      </c>
      <c r="J16" s="31">
        <f>F16*H16+G16*I16</f>
        <v>4852998</v>
      </c>
      <c r="K16" s="31">
        <f>J16*12</f>
        <v>58235976</v>
      </c>
      <c r="L16" s="31">
        <f>J16*36</f>
        <v>174707928</v>
      </c>
    </row>
    <row r="17" spans="2:12" ht="87" x14ac:dyDescent="0.35">
      <c r="B17" s="27">
        <f t="shared" si="5"/>
        <v>10</v>
      </c>
      <c r="C17" s="28" t="s">
        <v>97</v>
      </c>
      <c r="D17" s="29" t="s">
        <v>7</v>
      </c>
      <c r="E17" s="30">
        <f t="shared" ref="E17:E19" si="11">F17+G17</f>
        <v>300</v>
      </c>
      <c r="F17" s="30">
        <v>120</v>
      </c>
      <c r="G17" s="30">
        <v>180</v>
      </c>
      <c r="H17" s="31">
        <v>28452</v>
      </c>
      <c r="I17" s="31">
        <v>27367</v>
      </c>
      <c r="J17" s="31">
        <f t="shared" ref="J17:J19" si="12">F17*H17+G17*I17</f>
        <v>8340300</v>
      </c>
      <c r="K17" s="31">
        <f t="shared" ref="K17:K19" si="13">J17*12</f>
        <v>100083600</v>
      </c>
      <c r="L17" s="31">
        <f t="shared" ref="L17:L19" si="14">J17*36</f>
        <v>300250800</v>
      </c>
    </row>
    <row r="18" spans="2:12" ht="130.5" x14ac:dyDescent="0.35">
      <c r="B18" s="27">
        <f t="shared" si="5"/>
        <v>11</v>
      </c>
      <c r="C18" s="28" t="s">
        <v>98</v>
      </c>
      <c r="D18" s="29" t="s">
        <v>7</v>
      </c>
      <c r="E18" s="30">
        <f t="shared" si="11"/>
        <v>204</v>
      </c>
      <c r="F18" s="30">
        <v>76</v>
      </c>
      <c r="G18" s="30">
        <v>128</v>
      </c>
      <c r="H18" s="31">
        <v>28452</v>
      </c>
      <c r="I18" s="31">
        <v>27367</v>
      </c>
      <c r="J18" s="31">
        <f t="shared" si="12"/>
        <v>5665328</v>
      </c>
      <c r="K18" s="31">
        <f t="shared" si="13"/>
        <v>67983936</v>
      </c>
      <c r="L18" s="31">
        <f t="shared" si="14"/>
        <v>203951808</v>
      </c>
    </row>
    <row r="19" spans="2:12" ht="159.5" x14ac:dyDescent="0.35">
      <c r="B19" s="27">
        <f t="shared" si="5"/>
        <v>12</v>
      </c>
      <c r="C19" s="28" t="s">
        <v>99</v>
      </c>
      <c r="D19" s="29" t="s">
        <v>7</v>
      </c>
      <c r="E19" s="30">
        <f t="shared" si="11"/>
        <v>300</v>
      </c>
      <c r="F19" s="30">
        <v>88</v>
      </c>
      <c r="G19" s="30">
        <v>212</v>
      </c>
      <c r="H19" s="31">
        <v>28452</v>
      </c>
      <c r="I19" s="31">
        <v>27367</v>
      </c>
      <c r="J19" s="31">
        <f t="shared" si="12"/>
        <v>8305580</v>
      </c>
      <c r="K19" s="31">
        <f t="shared" si="13"/>
        <v>99666960</v>
      </c>
      <c r="L19" s="31">
        <f t="shared" si="14"/>
        <v>299000880</v>
      </c>
    </row>
    <row r="20" spans="2:12" x14ac:dyDescent="0.35">
      <c r="B20" s="271" t="s">
        <v>8</v>
      </c>
      <c r="C20" s="272"/>
      <c r="D20" s="273"/>
      <c r="E20" s="25">
        <f>F20+G20</f>
        <v>978</v>
      </c>
      <c r="F20" s="25">
        <f t="shared" ref="F20:G20" si="15">F16+F17+F18+F19</f>
        <v>368</v>
      </c>
      <c r="G20" s="25">
        <f t="shared" si="15"/>
        <v>610</v>
      </c>
      <c r="H20" s="26"/>
      <c r="I20" s="26"/>
      <c r="J20" s="26">
        <f>J19+J18+J17+J16</f>
        <v>27164206</v>
      </c>
      <c r="K20" s="26">
        <f>K16+K17+K18+K19</f>
        <v>325970472</v>
      </c>
      <c r="L20" s="26">
        <f>L16+L17+L18+L19</f>
        <v>977911416</v>
      </c>
    </row>
    <row r="21" spans="2:12" ht="43.5" x14ac:dyDescent="0.35">
      <c r="B21" s="32" t="s">
        <v>0</v>
      </c>
      <c r="C21" s="33" t="s">
        <v>1</v>
      </c>
      <c r="D21" s="33" t="s">
        <v>2</v>
      </c>
      <c r="E21" s="34" t="s">
        <v>3</v>
      </c>
      <c r="F21" s="35" t="s">
        <v>4</v>
      </c>
      <c r="G21" s="35" t="s">
        <v>5</v>
      </c>
      <c r="H21" s="78" t="s">
        <v>16</v>
      </c>
      <c r="I21" s="78" t="s">
        <v>17</v>
      </c>
      <c r="J21" s="78" t="s">
        <v>18</v>
      </c>
      <c r="K21" s="78"/>
      <c r="L21" s="36" t="s">
        <v>6</v>
      </c>
    </row>
    <row r="22" spans="2:12" ht="29" x14ac:dyDescent="0.35">
      <c r="B22" s="37"/>
      <c r="C22" s="38" t="s">
        <v>100</v>
      </c>
      <c r="D22" s="39" t="s">
        <v>9</v>
      </c>
      <c r="E22" s="40">
        <f>F22+G22</f>
        <v>200</v>
      </c>
      <c r="F22" s="40">
        <v>40</v>
      </c>
      <c r="G22" s="40">
        <v>160</v>
      </c>
      <c r="H22" s="41">
        <v>28452</v>
      </c>
      <c r="I22" s="41">
        <v>27367</v>
      </c>
      <c r="J22" s="41">
        <f>H22*F22+I22*G22</f>
        <v>5516800</v>
      </c>
      <c r="K22" s="41">
        <f>J22*12</f>
        <v>66201600</v>
      </c>
      <c r="L22" s="41">
        <f>J22*36</f>
        <v>198604800</v>
      </c>
    </row>
    <row r="23" spans="2:12" ht="29" x14ac:dyDescent="0.35">
      <c r="B23" s="37"/>
      <c r="C23" s="38" t="s">
        <v>101</v>
      </c>
      <c r="D23" s="39" t="s">
        <v>9</v>
      </c>
      <c r="E23" s="40">
        <f t="shared" ref="E23:E25" si="16">F23+G23</f>
        <v>292</v>
      </c>
      <c r="F23" s="40">
        <v>82</v>
      </c>
      <c r="G23" s="40">
        <v>210</v>
      </c>
      <c r="H23" s="41">
        <v>28452</v>
      </c>
      <c r="I23" s="41">
        <v>27367</v>
      </c>
      <c r="J23" s="41">
        <f t="shared" ref="J23:J25" si="17">H23*F23+I23*G23</f>
        <v>8080134</v>
      </c>
      <c r="K23" s="41">
        <f t="shared" ref="K23:K25" si="18">J23*12</f>
        <v>96961608</v>
      </c>
      <c r="L23" s="41">
        <f t="shared" ref="L23:L25" si="19">J23*36</f>
        <v>290884824</v>
      </c>
    </row>
    <row r="24" spans="2:12" ht="29" x14ac:dyDescent="0.35">
      <c r="B24" s="37"/>
      <c r="C24" s="38" t="s">
        <v>102</v>
      </c>
      <c r="D24" s="39" t="s">
        <v>9</v>
      </c>
      <c r="E24" s="40">
        <f t="shared" si="16"/>
        <v>226</v>
      </c>
      <c r="F24" s="40">
        <v>56</v>
      </c>
      <c r="G24" s="40">
        <v>170</v>
      </c>
      <c r="H24" s="41">
        <v>28452</v>
      </c>
      <c r="I24" s="41">
        <v>27367</v>
      </c>
      <c r="J24" s="41">
        <f t="shared" si="17"/>
        <v>6245702</v>
      </c>
      <c r="K24" s="41">
        <f t="shared" si="18"/>
        <v>74948424</v>
      </c>
      <c r="L24" s="41">
        <f t="shared" si="19"/>
        <v>224845272</v>
      </c>
    </row>
    <row r="25" spans="2:12" ht="29" x14ac:dyDescent="0.35">
      <c r="B25" s="37"/>
      <c r="C25" s="38" t="s">
        <v>103</v>
      </c>
      <c r="D25" s="39" t="s">
        <v>9</v>
      </c>
      <c r="E25" s="40">
        <f t="shared" si="16"/>
        <v>200</v>
      </c>
      <c r="F25" s="40">
        <v>40</v>
      </c>
      <c r="G25" s="40">
        <v>160</v>
      </c>
      <c r="H25" s="41">
        <v>28452</v>
      </c>
      <c r="I25" s="41">
        <v>27367</v>
      </c>
      <c r="J25" s="41">
        <f t="shared" si="17"/>
        <v>5516800</v>
      </c>
      <c r="K25" s="41">
        <f t="shared" si="18"/>
        <v>66201600</v>
      </c>
      <c r="L25" s="41">
        <f t="shared" si="19"/>
        <v>198604800</v>
      </c>
    </row>
    <row r="26" spans="2:12" x14ac:dyDescent="0.35">
      <c r="B26" s="274" t="s">
        <v>8</v>
      </c>
      <c r="C26" s="275"/>
      <c r="D26" s="276"/>
      <c r="E26" s="35">
        <f>F26+G26</f>
        <v>918</v>
      </c>
      <c r="F26" s="35">
        <f t="shared" ref="F26" si="20">F22+F23+F24+F25</f>
        <v>218</v>
      </c>
      <c r="G26" s="35">
        <f>G22+G23+G24+G25</f>
        <v>700</v>
      </c>
      <c r="H26" s="36"/>
      <c r="I26" s="36"/>
      <c r="J26" s="36">
        <f>J22+J23+J24+J25</f>
        <v>25359436</v>
      </c>
      <c r="K26" s="36">
        <f>K22+K23+K24+K25</f>
        <v>304313232</v>
      </c>
      <c r="L26" s="36">
        <f>L22+L23+L24+L25</f>
        <v>912939696</v>
      </c>
    </row>
    <row r="27" spans="2:12" ht="43.5" x14ac:dyDescent="0.35">
      <c r="B27" s="42" t="s">
        <v>0</v>
      </c>
      <c r="C27" s="43" t="s">
        <v>1</v>
      </c>
      <c r="D27" s="43" t="s">
        <v>2</v>
      </c>
      <c r="E27" s="44" t="s">
        <v>3</v>
      </c>
      <c r="F27" s="45" t="s">
        <v>4</v>
      </c>
      <c r="G27" s="45" t="s">
        <v>5</v>
      </c>
      <c r="H27" s="79" t="s">
        <v>16</v>
      </c>
      <c r="I27" s="79" t="s">
        <v>17</v>
      </c>
      <c r="J27" s="79" t="s">
        <v>18</v>
      </c>
      <c r="K27" s="79"/>
      <c r="L27" s="46" t="s">
        <v>6</v>
      </c>
    </row>
    <row r="28" spans="2:12" ht="116" x14ac:dyDescent="0.35">
      <c r="B28" s="47">
        <f>B19+1</f>
        <v>13</v>
      </c>
      <c r="C28" s="48" t="s">
        <v>104</v>
      </c>
      <c r="D28" s="48" t="s">
        <v>10</v>
      </c>
      <c r="E28" s="49">
        <f>F28+G28</f>
        <v>465</v>
      </c>
      <c r="F28" s="49">
        <v>306</v>
      </c>
      <c r="G28" s="49">
        <v>159</v>
      </c>
      <c r="H28" s="50">
        <v>28452</v>
      </c>
      <c r="I28" s="50">
        <v>27367</v>
      </c>
      <c r="J28" s="50">
        <f>F28*H28+G28*I28</f>
        <v>13057665</v>
      </c>
      <c r="K28" s="50">
        <f>J28*12</f>
        <v>156691980</v>
      </c>
      <c r="L28" s="50">
        <f>J28*36</f>
        <v>470075940</v>
      </c>
    </row>
    <row r="29" spans="2:12" ht="72.5" x14ac:dyDescent="0.35">
      <c r="B29" s="47">
        <f t="shared" si="5"/>
        <v>14</v>
      </c>
      <c r="C29" s="48" t="s">
        <v>105</v>
      </c>
      <c r="D29" s="48" t="s">
        <v>10</v>
      </c>
      <c r="E29" s="49">
        <f>F29+G29</f>
        <v>464</v>
      </c>
      <c r="F29" s="49">
        <v>305</v>
      </c>
      <c r="G29" s="49">
        <v>159</v>
      </c>
      <c r="H29" s="50">
        <v>28452</v>
      </c>
      <c r="I29" s="50">
        <v>27367</v>
      </c>
      <c r="J29" s="50">
        <f>F29*H29+G29*I29</f>
        <v>13029213</v>
      </c>
      <c r="K29" s="50">
        <f>J29*12</f>
        <v>156350556</v>
      </c>
      <c r="L29" s="50">
        <f>J29*36</f>
        <v>469051668</v>
      </c>
    </row>
    <row r="30" spans="2:12" x14ac:dyDescent="0.35">
      <c r="B30" s="277" t="s">
        <v>8</v>
      </c>
      <c r="C30" s="278"/>
      <c r="D30" s="279"/>
      <c r="E30" s="45">
        <f>F30+G30</f>
        <v>929</v>
      </c>
      <c r="F30" s="45">
        <f t="shared" ref="F30:G30" si="21">F28+F29</f>
        <v>611</v>
      </c>
      <c r="G30" s="45">
        <f t="shared" si="21"/>
        <v>318</v>
      </c>
      <c r="H30" s="46"/>
      <c r="I30" s="46"/>
      <c r="J30" s="46">
        <f>J29+J28</f>
        <v>26086878</v>
      </c>
      <c r="K30" s="46">
        <f>K28+K29</f>
        <v>313042536</v>
      </c>
      <c r="L30" s="46">
        <f>L28+L29</f>
        <v>939127608</v>
      </c>
    </row>
    <row r="31" spans="2:12" ht="43.5" x14ac:dyDescent="0.35">
      <c r="B31" s="51" t="s">
        <v>0</v>
      </c>
      <c r="C31" s="52" t="s">
        <v>1</v>
      </c>
      <c r="D31" s="52" t="s">
        <v>2</v>
      </c>
      <c r="E31" s="53" t="s">
        <v>3</v>
      </c>
      <c r="F31" s="54" t="s">
        <v>4</v>
      </c>
      <c r="G31" s="54" t="s">
        <v>5</v>
      </c>
      <c r="H31" s="80" t="s">
        <v>16</v>
      </c>
      <c r="I31" s="80" t="s">
        <v>17</v>
      </c>
      <c r="J31" s="80" t="s">
        <v>18</v>
      </c>
      <c r="K31" s="80"/>
      <c r="L31" s="55" t="s">
        <v>6</v>
      </c>
    </row>
    <row r="32" spans="2:12" ht="29" x14ac:dyDescent="0.35">
      <c r="B32" s="56">
        <f>B29+1</f>
        <v>15</v>
      </c>
      <c r="C32" s="57" t="s">
        <v>106</v>
      </c>
      <c r="D32" s="57" t="s">
        <v>11</v>
      </c>
      <c r="E32" s="58">
        <f>SUM(F32:G32)</f>
        <v>30</v>
      </c>
      <c r="F32" s="58">
        <v>4</v>
      </c>
      <c r="G32" s="58">
        <v>26</v>
      </c>
      <c r="H32" s="59">
        <v>28452</v>
      </c>
      <c r="I32" s="59">
        <v>27367</v>
      </c>
      <c r="J32" s="59">
        <f>F32*H32+G32*I32</f>
        <v>825350</v>
      </c>
      <c r="K32" s="59">
        <f>J32*12</f>
        <v>9904200</v>
      </c>
      <c r="L32" s="59">
        <f>J32*36</f>
        <v>29712600</v>
      </c>
    </row>
    <row r="33" spans="2:12" ht="29" x14ac:dyDescent="0.35">
      <c r="B33" s="56">
        <f t="shared" si="5"/>
        <v>16</v>
      </c>
      <c r="C33" s="57" t="s">
        <v>107</v>
      </c>
      <c r="D33" s="57" t="s">
        <v>11</v>
      </c>
      <c r="E33" s="58">
        <f t="shared" ref="E33" si="22">SUM(F33:G33)</f>
        <v>58</v>
      </c>
      <c r="F33" s="58">
        <v>8</v>
      </c>
      <c r="G33" s="58">
        <v>50</v>
      </c>
      <c r="H33" s="59">
        <v>28452</v>
      </c>
      <c r="I33" s="59">
        <v>27367</v>
      </c>
      <c r="J33" s="59">
        <f>F33*H33+G33*I33</f>
        <v>1595966</v>
      </c>
      <c r="K33" s="59">
        <f>J33*12</f>
        <v>19151592</v>
      </c>
      <c r="L33" s="59">
        <f>J33*36</f>
        <v>57454776</v>
      </c>
    </row>
    <row r="34" spans="2:12" x14ac:dyDescent="0.35">
      <c r="B34" s="257" t="s">
        <v>8</v>
      </c>
      <c r="C34" s="258"/>
      <c r="D34" s="259"/>
      <c r="E34" s="54">
        <f>F34+G34</f>
        <v>88</v>
      </c>
      <c r="F34" s="54">
        <f t="shared" ref="F34:G34" si="23">F32+F33</f>
        <v>12</v>
      </c>
      <c r="G34" s="54">
        <f t="shared" si="23"/>
        <v>76</v>
      </c>
      <c r="H34" s="55"/>
      <c r="I34" s="55"/>
      <c r="J34" s="55">
        <f>J32+J33</f>
        <v>2421316</v>
      </c>
      <c r="K34" s="55">
        <f>K32+K33</f>
        <v>29055792</v>
      </c>
      <c r="L34" s="55">
        <f>L32+L33</f>
        <v>87167376</v>
      </c>
    </row>
    <row r="35" spans="2:12" ht="43.5" x14ac:dyDescent="0.35">
      <c r="B35" s="60" t="s">
        <v>0</v>
      </c>
      <c r="C35" s="61" t="s">
        <v>1</v>
      </c>
      <c r="D35" s="61" t="s">
        <v>2</v>
      </c>
      <c r="E35" s="62" t="s">
        <v>3</v>
      </c>
      <c r="F35" s="63" t="s">
        <v>4</v>
      </c>
      <c r="G35" s="63" t="s">
        <v>5</v>
      </c>
      <c r="H35" s="81" t="s">
        <v>16</v>
      </c>
      <c r="I35" s="81" t="s">
        <v>17</v>
      </c>
      <c r="J35" s="81" t="s">
        <v>18</v>
      </c>
      <c r="K35" s="81"/>
      <c r="L35" s="64" t="s">
        <v>6</v>
      </c>
    </row>
    <row r="36" spans="2:12" ht="145" x14ac:dyDescent="0.35">
      <c r="B36" s="65">
        <f>B33+1</f>
        <v>17</v>
      </c>
      <c r="C36" s="66" t="s">
        <v>45</v>
      </c>
      <c r="D36" s="66" t="s">
        <v>12</v>
      </c>
      <c r="E36" s="67">
        <f>F36+G36</f>
        <v>24</v>
      </c>
      <c r="F36" s="67">
        <v>0</v>
      </c>
      <c r="G36" s="67">
        <v>24</v>
      </c>
      <c r="H36" s="75">
        <v>28452</v>
      </c>
      <c r="I36" s="75">
        <v>27367</v>
      </c>
      <c r="J36" s="75">
        <f>F36*H36+G36*I36</f>
        <v>656808</v>
      </c>
      <c r="K36" s="75">
        <f>J36*12</f>
        <v>7881696</v>
      </c>
      <c r="L36" s="64">
        <f>J36*36</f>
        <v>23645088</v>
      </c>
    </row>
    <row r="37" spans="2:12" ht="261" x14ac:dyDescent="0.35">
      <c r="B37" s="65">
        <f t="shared" si="5"/>
        <v>18</v>
      </c>
      <c r="C37" s="66" t="s">
        <v>46</v>
      </c>
      <c r="D37" s="66" t="s">
        <v>13</v>
      </c>
      <c r="E37" s="67">
        <f t="shared" ref="E37:E40" si="24">F37+G37</f>
        <v>152</v>
      </c>
      <c r="F37" s="67">
        <v>8</v>
      </c>
      <c r="G37" s="67">
        <v>144</v>
      </c>
      <c r="H37" s="75">
        <v>28452</v>
      </c>
      <c r="I37" s="75">
        <v>27367</v>
      </c>
      <c r="J37" s="75">
        <f t="shared" ref="J37:J40" si="25">F37*H37+G37*I37</f>
        <v>4168464</v>
      </c>
      <c r="K37" s="75">
        <f t="shared" ref="K37:K40" si="26">J37*12</f>
        <v>50021568</v>
      </c>
      <c r="L37" s="64">
        <f t="shared" ref="L37:L40" si="27">J37*36</f>
        <v>150064704</v>
      </c>
    </row>
    <row r="38" spans="2:12" ht="116" x14ac:dyDescent="0.35">
      <c r="B38" s="65">
        <f t="shared" si="5"/>
        <v>19</v>
      </c>
      <c r="C38" s="66" t="s">
        <v>47</v>
      </c>
      <c r="D38" s="66" t="s">
        <v>11</v>
      </c>
      <c r="E38" s="67">
        <f t="shared" si="24"/>
        <v>20</v>
      </c>
      <c r="F38" s="67">
        <v>0</v>
      </c>
      <c r="G38" s="67">
        <v>20</v>
      </c>
      <c r="H38" s="75">
        <v>28452</v>
      </c>
      <c r="I38" s="75">
        <v>27367</v>
      </c>
      <c r="J38" s="75">
        <f t="shared" si="25"/>
        <v>547340</v>
      </c>
      <c r="K38" s="75">
        <f t="shared" si="26"/>
        <v>6568080</v>
      </c>
      <c r="L38" s="64">
        <f t="shared" si="27"/>
        <v>19704240</v>
      </c>
    </row>
    <row r="39" spans="2:12" ht="174" x14ac:dyDescent="0.35">
      <c r="B39" s="65">
        <f t="shared" si="5"/>
        <v>20</v>
      </c>
      <c r="C39" s="66" t="s">
        <v>48</v>
      </c>
      <c r="D39" s="66" t="s">
        <v>14</v>
      </c>
      <c r="E39" s="67">
        <f t="shared" si="24"/>
        <v>24</v>
      </c>
      <c r="F39" s="67">
        <v>0</v>
      </c>
      <c r="G39" s="67">
        <v>24</v>
      </c>
      <c r="H39" s="75">
        <v>28452</v>
      </c>
      <c r="I39" s="75">
        <v>27367</v>
      </c>
      <c r="J39" s="75">
        <f t="shared" si="25"/>
        <v>656808</v>
      </c>
      <c r="K39" s="75">
        <f t="shared" si="26"/>
        <v>7881696</v>
      </c>
      <c r="L39" s="64">
        <f t="shared" si="27"/>
        <v>23645088</v>
      </c>
    </row>
    <row r="40" spans="2:12" ht="174" x14ac:dyDescent="0.35">
      <c r="B40" s="65">
        <f t="shared" si="5"/>
        <v>21</v>
      </c>
      <c r="C40" s="66" t="s">
        <v>49</v>
      </c>
      <c r="D40" s="66" t="s">
        <v>15</v>
      </c>
      <c r="E40" s="67">
        <f t="shared" si="24"/>
        <v>24</v>
      </c>
      <c r="F40" s="67">
        <v>0</v>
      </c>
      <c r="G40" s="67">
        <v>24</v>
      </c>
      <c r="H40" s="75">
        <v>28452</v>
      </c>
      <c r="I40" s="75">
        <v>27367</v>
      </c>
      <c r="J40" s="75">
        <f t="shared" si="25"/>
        <v>656808</v>
      </c>
      <c r="K40" s="75">
        <f t="shared" si="26"/>
        <v>7881696</v>
      </c>
      <c r="L40" s="64">
        <f t="shared" si="27"/>
        <v>23645088</v>
      </c>
    </row>
    <row r="41" spans="2:12" x14ac:dyDescent="0.35">
      <c r="B41" s="261" t="s">
        <v>8</v>
      </c>
      <c r="C41" s="262"/>
      <c r="D41" s="263"/>
      <c r="E41" s="63">
        <f>F41+G41</f>
        <v>244</v>
      </c>
      <c r="F41" s="63">
        <f t="shared" ref="F41:J41" si="28">SUM(F36:F40)</f>
        <v>8</v>
      </c>
      <c r="G41" s="63">
        <f t="shared" si="28"/>
        <v>236</v>
      </c>
      <c r="H41" s="64">
        <f t="shared" si="28"/>
        <v>142260</v>
      </c>
      <c r="I41" s="64">
        <f t="shared" si="28"/>
        <v>136835</v>
      </c>
      <c r="J41" s="64">
        <f t="shared" si="28"/>
        <v>6686228</v>
      </c>
      <c r="K41" s="64">
        <f>K36+K37+K38+K39+K40</f>
        <v>80234736</v>
      </c>
      <c r="L41" s="64">
        <f>J41*36</f>
        <v>240704208</v>
      </c>
    </row>
    <row r="42" spans="2:12" ht="18.5" x14ac:dyDescent="0.35">
      <c r="B42" s="260" t="s">
        <v>19</v>
      </c>
      <c r="C42" s="260"/>
      <c r="D42" s="260"/>
      <c r="E42" s="68">
        <f>E8+E14+E20+E26+E30+E34+E41</f>
        <v>5004</v>
      </c>
      <c r="F42" s="68">
        <f t="shared" ref="F42:G42" si="29">F8+F14+F20+F26+F30+F34+F41</f>
        <v>1982</v>
      </c>
      <c r="G42" s="68">
        <f t="shared" si="29"/>
        <v>3022</v>
      </c>
      <c r="H42" s="69"/>
      <c r="I42" s="69"/>
      <c r="J42" s="69">
        <f>J41+J34+J30+J26+J20+J14+J8</f>
        <v>139094938</v>
      </c>
      <c r="K42" s="69"/>
      <c r="L42" s="69">
        <f>L41+L34+L30+L26+L20+L14+L8</f>
        <v>4896934240</v>
      </c>
    </row>
    <row r="43" spans="2:12" x14ac:dyDescent="0.35">
      <c r="E43" s="70"/>
      <c r="F43" s="70"/>
      <c r="G43" s="70"/>
      <c r="H43" s="70"/>
      <c r="I43" s="70"/>
      <c r="J43" s="70"/>
      <c r="K43" s="70"/>
    </row>
    <row r="44" spans="2:12" x14ac:dyDescent="0.35">
      <c r="F44" s="72"/>
      <c r="L44" s="71">
        <f>L42/3</f>
        <v>1632311413.3333333</v>
      </c>
    </row>
    <row r="45" spans="2:12" x14ac:dyDescent="0.35">
      <c r="E45" s="72"/>
      <c r="F45" s="72"/>
    </row>
    <row r="46" spans="2:12" x14ac:dyDescent="0.35">
      <c r="D46" s="73"/>
      <c r="E46" s="70"/>
      <c r="F46" s="70"/>
    </row>
    <row r="47" spans="2:12" x14ac:dyDescent="0.35">
      <c r="E47" s="70"/>
      <c r="F47" s="70"/>
    </row>
    <row r="48" spans="2:12" x14ac:dyDescent="0.35">
      <c r="F48" s="7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"/>
  <sheetViews>
    <sheetView workbookViewId="0">
      <selection activeCell="B2" sqref="B2:N7"/>
    </sheetView>
  </sheetViews>
  <sheetFormatPr defaultRowHeight="14.5" x14ac:dyDescent="0.35"/>
  <cols>
    <col min="2" max="2" width="5.81640625" bestFit="1" customWidth="1"/>
    <col min="3" max="3" width="17.08984375" customWidth="1"/>
    <col min="4" max="4" width="15.453125" customWidth="1"/>
    <col min="5" max="5" width="13.81640625" customWidth="1"/>
    <col min="6" max="6" width="12.08984375" customWidth="1"/>
    <col min="7" max="7" width="10.36328125" customWidth="1"/>
    <col min="8" max="8" width="14.54296875" customWidth="1"/>
    <col min="9" max="9" width="14.6328125" customWidth="1"/>
    <col min="10" max="14" width="21.6328125" customWidth="1"/>
  </cols>
  <sheetData>
    <row r="1" spans="1:15" ht="15" thickBot="1" x14ac:dyDescent="0.4">
      <c r="A1" s="128"/>
      <c r="B1" s="124"/>
      <c r="C1" s="125"/>
      <c r="D1" s="125"/>
      <c r="E1" s="127"/>
      <c r="F1" s="127"/>
      <c r="G1" s="127"/>
      <c r="H1" s="128"/>
      <c r="I1" s="128"/>
      <c r="J1" s="128"/>
      <c r="K1" s="128"/>
      <c r="L1" s="128"/>
      <c r="M1" s="128"/>
      <c r="N1" s="128"/>
      <c r="O1" s="128"/>
    </row>
    <row r="2" spans="1:15" ht="15" thickBot="1" x14ac:dyDescent="0.4">
      <c r="A2" s="128"/>
      <c r="B2" s="372" t="s">
        <v>54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4"/>
      <c r="O2" s="128"/>
    </row>
    <row r="3" spans="1:15" ht="28.5" thickBot="1" x14ac:dyDescent="0.4">
      <c r="A3" s="128"/>
      <c r="B3" s="322" t="s">
        <v>0</v>
      </c>
      <c r="C3" s="320" t="s">
        <v>1</v>
      </c>
      <c r="D3" s="317" t="s">
        <v>2</v>
      </c>
      <c r="E3" s="314" t="s">
        <v>61</v>
      </c>
      <c r="F3" s="385" t="s">
        <v>60</v>
      </c>
      <c r="G3" s="386"/>
      <c r="H3" s="370" t="s">
        <v>59</v>
      </c>
      <c r="I3" s="371"/>
      <c r="J3" s="366" t="s">
        <v>58</v>
      </c>
      <c r="K3" s="336" t="s">
        <v>83</v>
      </c>
      <c r="L3" s="314" t="s">
        <v>84</v>
      </c>
      <c r="M3" s="314" t="s">
        <v>85</v>
      </c>
      <c r="N3" s="337" t="s">
        <v>86</v>
      </c>
      <c r="O3" s="128"/>
    </row>
    <row r="4" spans="1:15" ht="15" thickBot="1" x14ac:dyDescent="0.4">
      <c r="A4" s="129"/>
      <c r="B4" s="323"/>
      <c r="C4" s="321"/>
      <c r="D4" s="318"/>
      <c r="E4" s="307"/>
      <c r="F4" s="194" t="s">
        <v>4</v>
      </c>
      <c r="G4" s="195" t="s">
        <v>5</v>
      </c>
      <c r="H4" s="223" t="s">
        <v>4</v>
      </c>
      <c r="I4" s="224" t="s">
        <v>5</v>
      </c>
      <c r="J4" s="367"/>
      <c r="K4" s="338"/>
      <c r="L4" s="307"/>
      <c r="M4" s="307"/>
      <c r="N4" s="339"/>
      <c r="O4" s="129"/>
    </row>
    <row r="5" spans="1:15" x14ac:dyDescent="0.35">
      <c r="A5" s="128"/>
      <c r="B5" s="236">
        <v>1</v>
      </c>
      <c r="C5" s="237" t="s">
        <v>106</v>
      </c>
      <c r="D5" s="238" t="s">
        <v>11</v>
      </c>
      <c r="E5" s="169">
        <f>SUM(F5:G5)</f>
        <v>40</v>
      </c>
      <c r="F5" s="169">
        <v>4</v>
      </c>
      <c r="G5" s="226">
        <v>36</v>
      </c>
      <c r="H5" s="227"/>
      <c r="I5" s="173"/>
      <c r="J5" s="175"/>
      <c r="K5" s="175"/>
      <c r="L5" s="175"/>
      <c r="M5" s="174"/>
      <c r="N5" s="174"/>
      <c r="O5" s="128"/>
    </row>
    <row r="6" spans="1:15" ht="15" thickBot="1" x14ac:dyDescent="0.4">
      <c r="A6" s="128"/>
      <c r="B6" s="239">
        <f t="shared" ref="B6" si="0">B5+1</f>
        <v>2</v>
      </c>
      <c r="C6" s="240" t="s">
        <v>107</v>
      </c>
      <c r="D6" s="241" t="s">
        <v>11</v>
      </c>
      <c r="E6" s="184">
        <f t="shared" ref="E6" si="1">SUM(F6:G6)</f>
        <v>68</v>
      </c>
      <c r="F6" s="184">
        <v>8</v>
      </c>
      <c r="G6" s="242">
        <v>60</v>
      </c>
      <c r="H6" s="243"/>
      <c r="I6" s="188"/>
      <c r="J6" s="190"/>
      <c r="K6" s="190"/>
      <c r="L6" s="190"/>
      <c r="M6" s="189"/>
      <c r="N6" s="189"/>
      <c r="O6" s="128"/>
    </row>
    <row r="7" spans="1:15" ht="15" thickBot="1" x14ac:dyDescent="0.4">
      <c r="A7" s="128"/>
      <c r="B7" s="387" t="s">
        <v>26</v>
      </c>
      <c r="C7" s="388"/>
      <c r="D7" s="389"/>
      <c r="E7" s="219">
        <f>E5+E6</f>
        <v>108</v>
      </c>
      <c r="F7" s="219">
        <f t="shared" ref="F7:G7" si="2">F5+F6</f>
        <v>12</v>
      </c>
      <c r="G7" s="219">
        <f t="shared" si="2"/>
        <v>96</v>
      </c>
      <c r="H7" s="252"/>
      <c r="I7" s="252"/>
      <c r="J7" s="334"/>
      <c r="K7" s="334"/>
      <c r="L7" s="334"/>
      <c r="M7" s="234"/>
      <c r="N7" s="235"/>
      <c r="O7" s="128"/>
    </row>
  </sheetData>
  <mergeCells count="5">
    <mergeCell ref="B7:D7"/>
    <mergeCell ref="B2:N2"/>
    <mergeCell ref="F3:G3"/>
    <mergeCell ref="H3:I3"/>
    <mergeCell ref="J3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1"/>
  <sheetViews>
    <sheetView workbookViewId="0">
      <selection activeCell="B2" sqref="B2:N9"/>
    </sheetView>
  </sheetViews>
  <sheetFormatPr defaultRowHeight="14.5" x14ac:dyDescent="0.35"/>
  <cols>
    <col min="2" max="2" width="1.90625" bestFit="1" customWidth="1"/>
    <col min="3" max="3" width="27.08984375" customWidth="1"/>
    <col min="4" max="4" width="13.08984375" customWidth="1"/>
    <col min="5" max="5" width="15.81640625" customWidth="1"/>
    <col min="6" max="6" width="13.08984375" customWidth="1"/>
    <col min="7" max="7" width="11.1796875" customWidth="1"/>
    <col min="8" max="8" width="15.81640625" customWidth="1"/>
    <col min="9" max="9" width="14.81640625" customWidth="1"/>
    <col min="10" max="14" width="21.6328125" customWidth="1"/>
  </cols>
  <sheetData>
    <row r="1" spans="1:15" ht="15" thickBot="1" x14ac:dyDescent="0.4">
      <c r="A1" s="118"/>
      <c r="B1" s="119"/>
      <c r="C1" s="120"/>
      <c r="D1" s="120"/>
      <c r="E1" s="121"/>
      <c r="F1" s="121"/>
      <c r="G1" s="121"/>
      <c r="H1" s="118"/>
      <c r="I1" s="118"/>
      <c r="J1" s="118"/>
      <c r="K1" s="118"/>
      <c r="L1" s="118"/>
      <c r="M1" s="118"/>
      <c r="N1" s="118"/>
      <c r="O1" s="118"/>
    </row>
    <row r="2" spans="1:15" ht="15" thickBot="1" x14ac:dyDescent="0.4">
      <c r="A2" s="118"/>
      <c r="B2" s="372" t="s">
        <v>55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4"/>
      <c r="O2" s="118"/>
    </row>
    <row r="3" spans="1:15" ht="28.5" thickBot="1" x14ac:dyDescent="0.4">
      <c r="A3" s="118"/>
      <c r="B3" s="316" t="s">
        <v>0</v>
      </c>
      <c r="C3" s="319" t="s">
        <v>1</v>
      </c>
      <c r="D3" s="319" t="s">
        <v>2</v>
      </c>
      <c r="E3" s="346" t="s">
        <v>3</v>
      </c>
      <c r="F3" s="385" t="s">
        <v>60</v>
      </c>
      <c r="G3" s="386"/>
      <c r="H3" s="383" t="s">
        <v>59</v>
      </c>
      <c r="I3" s="392"/>
      <c r="J3" s="366" t="s">
        <v>58</v>
      </c>
      <c r="K3" s="336" t="s">
        <v>83</v>
      </c>
      <c r="L3" s="314" t="s">
        <v>84</v>
      </c>
      <c r="M3" s="314" t="s">
        <v>85</v>
      </c>
      <c r="N3" s="337" t="s">
        <v>86</v>
      </c>
      <c r="O3" s="118"/>
    </row>
    <row r="4" spans="1:15" ht="15" thickBot="1" x14ac:dyDescent="0.4">
      <c r="A4" s="122"/>
      <c r="B4" s="310"/>
      <c r="C4" s="308"/>
      <c r="D4" s="308"/>
      <c r="E4" s="324"/>
      <c r="F4" s="130" t="s">
        <v>4</v>
      </c>
      <c r="G4" s="209" t="s">
        <v>5</v>
      </c>
      <c r="H4" s="164" t="s">
        <v>4</v>
      </c>
      <c r="I4" s="163" t="s">
        <v>5</v>
      </c>
      <c r="J4" s="367"/>
      <c r="K4" s="338"/>
      <c r="L4" s="307"/>
      <c r="M4" s="307"/>
      <c r="N4" s="339"/>
      <c r="O4" s="122"/>
    </row>
    <row r="5" spans="1:15" ht="42" x14ac:dyDescent="0.35">
      <c r="A5" s="118"/>
      <c r="B5" s="133">
        <v>1</v>
      </c>
      <c r="C5" s="244" t="s">
        <v>45</v>
      </c>
      <c r="D5" s="244" t="s">
        <v>12</v>
      </c>
      <c r="E5" s="135">
        <f>F5+G5</f>
        <v>24</v>
      </c>
      <c r="F5" s="136">
        <v>0</v>
      </c>
      <c r="G5" s="137">
        <v>24</v>
      </c>
      <c r="H5" s="138"/>
      <c r="I5" s="139"/>
      <c r="J5" s="140"/>
      <c r="K5" s="333"/>
      <c r="L5" s="333"/>
      <c r="M5" s="140"/>
      <c r="N5" s="140"/>
      <c r="O5" s="118"/>
    </row>
    <row r="6" spans="1:15" ht="70" x14ac:dyDescent="0.35">
      <c r="A6" s="118"/>
      <c r="B6" s="141">
        <f t="shared" ref="B6:B8" si="0">B5+1</f>
        <v>2</v>
      </c>
      <c r="C6" s="159" t="s">
        <v>46</v>
      </c>
      <c r="D6" s="159" t="s">
        <v>13</v>
      </c>
      <c r="E6" s="144">
        <f t="shared" ref="E6:E8" si="1">F6+G6</f>
        <v>152</v>
      </c>
      <c r="F6" s="145">
        <v>8</v>
      </c>
      <c r="G6" s="146">
        <v>144</v>
      </c>
      <c r="H6" s="147"/>
      <c r="I6" s="148"/>
      <c r="J6" s="149"/>
      <c r="K6" s="180"/>
      <c r="L6" s="180"/>
      <c r="M6" s="149"/>
      <c r="N6" s="149"/>
      <c r="O6" s="118"/>
    </row>
    <row r="7" spans="1:15" ht="56" x14ac:dyDescent="0.35">
      <c r="A7" s="118"/>
      <c r="B7" s="141">
        <f t="shared" si="0"/>
        <v>3</v>
      </c>
      <c r="C7" s="159" t="s">
        <v>48</v>
      </c>
      <c r="D7" s="159" t="s">
        <v>14</v>
      </c>
      <c r="E7" s="144">
        <f t="shared" si="1"/>
        <v>24</v>
      </c>
      <c r="F7" s="145">
        <v>0</v>
      </c>
      <c r="G7" s="146">
        <v>24</v>
      </c>
      <c r="H7" s="147"/>
      <c r="I7" s="148"/>
      <c r="J7" s="149"/>
      <c r="K7" s="180"/>
      <c r="L7" s="180"/>
      <c r="M7" s="149"/>
      <c r="N7" s="149"/>
      <c r="O7" s="118"/>
    </row>
    <row r="8" spans="1:15" ht="42.5" thickBot="1" x14ac:dyDescent="0.4">
      <c r="A8" s="118"/>
      <c r="B8" s="150">
        <f t="shared" si="0"/>
        <v>4</v>
      </c>
      <c r="C8" s="347" t="s">
        <v>49</v>
      </c>
      <c r="D8" s="347" t="s">
        <v>15</v>
      </c>
      <c r="E8" s="152">
        <f t="shared" si="1"/>
        <v>24</v>
      </c>
      <c r="F8" s="153">
        <v>0</v>
      </c>
      <c r="G8" s="348">
        <v>24</v>
      </c>
      <c r="H8" s="154"/>
      <c r="I8" s="155"/>
      <c r="J8" s="156"/>
      <c r="K8" s="335"/>
      <c r="L8" s="335"/>
      <c r="M8" s="156"/>
      <c r="N8" s="156"/>
      <c r="O8" s="118"/>
    </row>
    <row r="9" spans="1:15" ht="15" thickBot="1" x14ac:dyDescent="0.4">
      <c r="A9" s="118"/>
      <c r="B9" s="387" t="s">
        <v>26</v>
      </c>
      <c r="C9" s="388"/>
      <c r="D9" s="389"/>
      <c r="E9" s="219">
        <f>E5+E6+E7+E8</f>
        <v>224</v>
      </c>
      <c r="F9" s="219">
        <f t="shared" ref="F9:G9" si="2">F5+F6+F7+F8</f>
        <v>8</v>
      </c>
      <c r="G9" s="219">
        <f t="shared" si="2"/>
        <v>216</v>
      </c>
      <c r="H9" s="252"/>
      <c r="I9" s="252"/>
      <c r="J9" s="334"/>
      <c r="K9" s="313"/>
      <c r="L9" s="252"/>
      <c r="M9" s="234"/>
      <c r="N9" s="235"/>
      <c r="O9" s="118"/>
    </row>
    <row r="10" spans="1:15" x14ac:dyDescent="0.35">
      <c r="A10" s="118"/>
      <c r="B10" s="119"/>
      <c r="C10" s="120"/>
      <c r="D10" s="120"/>
      <c r="E10" s="123"/>
      <c r="F10" s="123"/>
      <c r="G10" s="121"/>
      <c r="H10" s="118"/>
      <c r="I10" s="118"/>
      <c r="J10" s="118"/>
      <c r="K10" s="118"/>
      <c r="L10" s="118"/>
      <c r="M10" s="118"/>
      <c r="N10" s="118"/>
      <c r="O10" s="118"/>
    </row>
    <row r="11" spans="1:15" x14ac:dyDescent="0.35">
      <c r="F11" s="117"/>
    </row>
  </sheetData>
  <mergeCells count="5">
    <mergeCell ref="B9:D9"/>
    <mergeCell ref="F3:G3"/>
    <mergeCell ref="H3:I3"/>
    <mergeCell ref="J3:J4"/>
    <mergeCell ref="B2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16"/>
  <sheetViews>
    <sheetView zoomScale="121" workbookViewId="0">
      <selection activeCell="L5" sqref="L5"/>
    </sheetView>
  </sheetViews>
  <sheetFormatPr defaultRowHeight="14.5" x14ac:dyDescent="0.35"/>
  <cols>
    <col min="1" max="1" width="3.1796875" customWidth="1"/>
    <col min="2" max="2" width="37.54296875" customWidth="1"/>
    <col min="3" max="3" width="12.1796875" customWidth="1"/>
    <col min="4" max="4" width="11.81640625" customWidth="1"/>
    <col min="5" max="5" width="14.453125" customWidth="1"/>
    <col min="6" max="11" width="21.6328125" customWidth="1"/>
  </cols>
  <sheetData>
    <row r="2" spans="1:11" s="363" customFormat="1" ht="15" thickBot="1" x14ac:dyDescent="0.4">
      <c r="B2" s="363" t="s">
        <v>80</v>
      </c>
      <c r="C2" s="364" t="s">
        <v>81</v>
      </c>
    </row>
    <row r="3" spans="1:11" ht="15" thickBot="1" x14ac:dyDescent="0.4">
      <c r="A3" s="312" t="s">
        <v>82</v>
      </c>
      <c r="B3" s="252"/>
      <c r="C3" s="252"/>
      <c r="D3" s="252"/>
      <c r="E3" s="252"/>
      <c r="F3" s="252"/>
      <c r="G3" s="252"/>
      <c r="H3" s="252"/>
      <c r="I3" s="252"/>
      <c r="J3" s="252"/>
      <c r="K3" s="313"/>
    </row>
    <row r="4" spans="1:11" ht="42" x14ac:dyDescent="0.35">
      <c r="A4" s="246" t="s">
        <v>0</v>
      </c>
      <c r="B4" s="248" t="s">
        <v>62</v>
      </c>
      <c r="C4" s="247" t="s">
        <v>63</v>
      </c>
      <c r="D4" s="247" t="s">
        <v>108</v>
      </c>
      <c r="E4" s="365" t="s">
        <v>109</v>
      </c>
      <c r="F4" s="256" t="s">
        <v>83</v>
      </c>
      <c r="G4" s="330" t="s">
        <v>112</v>
      </c>
      <c r="H4" s="330" t="s">
        <v>110</v>
      </c>
      <c r="I4" s="330" t="s">
        <v>111</v>
      </c>
      <c r="J4" s="330" t="s">
        <v>85</v>
      </c>
      <c r="K4" s="254" t="s">
        <v>86</v>
      </c>
    </row>
    <row r="5" spans="1:11" ht="28" x14ac:dyDescent="0.35">
      <c r="A5" s="141">
        <v>1</v>
      </c>
      <c r="B5" s="161" t="s">
        <v>75</v>
      </c>
      <c r="C5" s="143" t="s">
        <v>64</v>
      </c>
      <c r="D5" s="160"/>
      <c r="E5" s="325">
        <f>40000*5</f>
        <v>200000</v>
      </c>
      <c r="F5" s="331"/>
      <c r="G5" s="331"/>
      <c r="H5" s="331">
        <f>E5*2</f>
        <v>400000</v>
      </c>
      <c r="I5" s="331"/>
      <c r="J5" s="331"/>
      <c r="K5" s="255"/>
    </row>
    <row r="6" spans="1:11" ht="28" x14ac:dyDescent="0.35">
      <c r="A6" s="141"/>
      <c r="B6" s="161" t="s">
        <v>74</v>
      </c>
      <c r="C6" s="143" t="s">
        <v>65</v>
      </c>
      <c r="D6" s="160"/>
      <c r="E6" s="325">
        <f>60*9</f>
        <v>540</v>
      </c>
      <c r="F6" s="331"/>
      <c r="G6" s="331"/>
      <c r="H6" s="331">
        <f t="shared" ref="H6:H15" si="0">E6*2</f>
        <v>1080</v>
      </c>
      <c r="I6" s="331"/>
      <c r="J6" s="331"/>
      <c r="K6" s="255"/>
    </row>
    <row r="7" spans="1:11" ht="42" x14ac:dyDescent="0.35">
      <c r="A7" s="141">
        <f>A5+1</f>
        <v>2</v>
      </c>
      <c r="B7" s="161" t="s">
        <v>76</v>
      </c>
      <c r="C7" s="143" t="s">
        <v>66</v>
      </c>
      <c r="D7" s="160"/>
      <c r="E7" s="325">
        <v>540</v>
      </c>
      <c r="F7" s="331"/>
      <c r="G7" s="331"/>
      <c r="H7" s="331">
        <f t="shared" si="0"/>
        <v>1080</v>
      </c>
      <c r="I7" s="331"/>
      <c r="J7" s="331"/>
      <c r="K7" s="255"/>
    </row>
    <row r="8" spans="1:11" ht="42" x14ac:dyDescent="0.35">
      <c r="A8" s="141">
        <f>A6+1</f>
        <v>1</v>
      </c>
      <c r="B8" s="161" t="s">
        <v>79</v>
      </c>
      <c r="C8" s="143" t="s">
        <v>67</v>
      </c>
      <c r="D8" s="160"/>
      <c r="E8" s="325">
        <f>5*30*2*3*7</f>
        <v>6300</v>
      </c>
      <c r="F8" s="331"/>
      <c r="G8" s="331"/>
      <c r="H8" s="331">
        <f t="shared" si="0"/>
        <v>12600</v>
      </c>
      <c r="I8" s="331"/>
      <c r="J8" s="331"/>
      <c r="K8" s="255"/>
    </row>
    <row r="9" spans="1:11" ht="56" x14ac:dyDescent="0.35">
      <c r="A9" s="141"/>
      <c r="B9" s="161" t="s">
        <v>68</v>
      </c>
      <c r="C9" s="143" t="s">
        <v>69</v>
      </c>
      <c r="D9" s="160"/>
      <c r="E9" s="325">
        <v>24000</v>
      </c>
      <c r="F9" s="331"/>
      <c r="G9" s="331"/>
      <c r="H9" s="331">
        <f t="shared" si="0"/>
        <v>48000</v>
      </c>
      <c r="I9" s="331"/>
      <c r="J9" s="331"/>
      <c r="K9" s="255"/>
    </row>
    <row r="10" spans="1:11" ht="28" x14ac:dyDescent="0.35">
      <c r="A10" s="141">
        <f>A7+1</f>
        <v>3</v>
      </c>
      <c r="B10" s="161" t="s">
        <v>70</v>
      </c>
      <c r="C10" s="143" t="s">
        <v>65</v>
      </c>
      <c r="D10" s="160"/>
      <c r="E10" s="325">
        <f>450*5</f>
        <v>2250</v>
      </c>
      <c r="F10" s="331"/>
      <c r="G10" s="331"/>
      <c r="H10" s="331">
        <f t="shared" si="0"/>
        <v>4500</v>
      </c>
      <c r="I10" s="331"/>
      <c r="J10" s="331"/>
      <c r="K10" s="255"/>
    </row>
    <row r="11" spans="1:11" ht="28" x14ac:dyDescent="0.35">
      <c r="A11" s="141"/>
      <c r="B11" s="161" t="s">
        <v>71</v>
      </c>
      <c r="C11" s="143" t="s">
        <v>65</v>
      </c>
      <c r="D11" s="160"/>
      <c r="E11" s="325">
        <f>450*5</f>
        <v>2250</v>
      </c>
      <c r="F11" s="331"/>
      <c r="G11" s="331"/>
      <c r="H11" s="331">
        <f t="shared" si="0"/>
        <v>4500</v>
      </c>
      <c r="I11" s="331"/>
      <c r="J11" s="331"/>
      <c r="K11" s="255"/>
    </row>
    <row r="12" spans="1:11" ht="42" x14ac:dyDescent="0.35">
      <c r="A12" s="141">
        <f>A10+1</f>
        <v>4</v>
      </c>
      <c r="B12" s="161" t="s">
        <v>72</v>
      </c>
      <c r="C12" s="143" t="s">
        <v>65</v>
      </c>
      <c r="D12" s="160"/>
      <c r="E12" s="325">
        <f>14*2*30*9</f>
        <v>7560</v>
      </c>
      <c r="F12" s="331"/>
      <c r="G12" s="331"/>
      <c r="H12" s="331">
        <f t="shared" si="0"/>
        <v>15120</v>
      </c>
      <c r="I12" s="331"/>
      <c r="J12" s="331"/>
      <c r="K12" s="255"/>
    </row>
    <row r="13" spans="1:11" ht="42" x14ac:dyDescent="0.35">
      <c r="A13" s="141">
        <f t="shared" ref="A13:A15" si="1">A12+1</f>
        <v>5</v>
      </c>
      <c r="B13" s="161" t="s">
        <v>77</v>
      </c>
      <c r="C13" s="143" t="s">
        <v>65</v>
      </c>
      <c r="D13" s="160"/>
      <c r="E13" s="325">
        <f t="shared" ref="E13" si="2">14*2*30*9</f>
        <v>7560</v>
      </c>
      <c r="F13" s="331"/>
      <c r="G13" s="331"/>
      <c r="H13" s="331">
        <f t="shared" si="0"/>
        <v>15120</v>
      </c>
      <c r="I13" s="331"/>
      <c r="J13" s="331"/>
      <c r="K13" s="255"/>
    </row>
    <row r="14" spans="1:11" ht="42" x14ac:dyDescent="0.35">
      <c r="A14" s="141">
        <f t="shared" si="1"/>
        <v>6</v>
      </c>
      <c r="B14" s="161" t="s">
        <v>73</v>
      </c>
      <c r="C14" s="143" t="s">
        <v>65</v>
      </c>
      <c r="D14" s="160"/>
      <c r="E14" s="325">
        <f>14*2*30*9*0.5</f>
        <v>3780</v>
      </c>
      <c r="F14" s="331"/>
      <c r="G14" s="331"/>
      <c r="H14" s="331">
        <f t="shared" si="0"/>
        <v>7560</v>
      </c>
      <c r="I14" s="331"/>
      <c r="J14" s="331"/>
      <c r="K14" s="255"/>
    </row>
    <row r="15" spans="1:11" ht="28.5" thickBot="1" x14ac:dyDescent="0.4">
      <c r="A15" s="181">
        <f t="shared" si="1"/>
        <v>7</v>
      </c>
      <c r="B15" s="249" t="s">
        <v>78</v>
      </c>
      <c r="C15" s="250" t="s">
        <v>65</v>
      </c>
      <c r="D15" s="251"/>
      <c r="E15" s="326">
        <f>14*2*30*9*0.5</f>
        <v>3780</v>
      </c>
      <c r="F15" s="332"/>
      <c r="G15" s="332"/>
      <c r="H15" s="331">
        <f t="shared" si="0"/>
        <v>7560</v>
      </c>
      <c r="I15" s="332"/>
      <c r="J15" s="332"/>
      <c r="K15" s="328"/>
    </row>
    <row r="16" spans="1:11" ht="15" thickBot="1" x14ac:dyDescent="0.4">
      <c r="A16" s="387" t="s">
        <v>26</v>
      </c>
      <c r="B16" s="388"/>
      <c r="C16" s="388"/>
      <c r="D16" s="388"/>
      <c r="E16" s="389"/>
      <c r="F16" s="327"/>
      <c r="G16" s="327"/>
      <c r="H16" s="327"/>
      <c r="I16" s="327"/>
      <c r="J16" s="327"/>
      <c r="K16" s="329"/>
    </row>
  </sheetData>
  <mergeCells count="1">
    <mergeCell ref="A16:E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/>
  </sheetViews>
  <sheetFormatPr defaultRowHeight="14.5" x14ac:dyDescent="0.35"/>
  <sheetData>
    <row r="1" spans="1:9" x14ac:dyDescent="0.35">
      <c r="A1" s="285" t="s">
        <v>37</v>
      </c>
      <c r="B1" s="286"/>
      <c r="C1" s="286"/>
      <c r="D1" s="286"/>
      <c r="E1" s="286"/>
      <c r="F1" s="286"/>
      <c r="G1" s="286"/>
      <c r="H1" s="286"/>
      <c r="I1" s="287"/>
    </row>
    <row r="2" spans="1:9" ht="87" x14ac:dyDescent="0.35">
      <c r="A2" s="288" t="s">
        <v>0</v>
      </c>
      <c r="B2" s="95" t="s">
        <v>20</v>
      </c>
      <c r="C2" s="95" t="s">
        <v>25</v>
      </c>
      <c r="D2" s="290" t="s">
        <v>28</v>
      </c>
      <c r="E2" s="290"/>
      <c r="F2" s="290" t="s">
        <v>28</v>
      </c>
      <c r="G2" s="290"/>
      <c r="H2" s="291" t="s">
        <v>18</v>
      </c>
      <c r="I2" s="280" t="s">
        <v>36</v>
      </c>
    </row>
    <row r="3" spans="1:9" x14ac:dyDescent="0.35">
      <c r="A3" s="289"/>
      <c r="B3" s="98"/>
      <c r="C3" s="98"/>
      <c r="D3" s="98" t="s">
        <v>29</v>
      </c>
      <c r="E3" s="98" t="s">
        <v>30</v>
      </c>
      <c r="F3" s="98" t="s">
        <v>29</v>
      </c>
      <c r="G3" s="98" t="s">
        <v>30</v>
      </c>
      <c r="H3" s="292"/>
      <c r="I3" s="281"/>
    </row>
    <row r="4" spans="1:9" x14ac:dyDescent="0.35">
      <c r="A4" s="89">
        <v>1</v>
      </c>
      <c r="B4" s="89" t="s">
        <v>21</v>
      </c>
      <c r="C4" s="90">
        <f>D4+E4</f>
        <v>856</v>
      </c>
      <c r="D4" s="90">
        <v>304</v>
      </c>
      <c r="E4" s="90">
        <v>552</v>
      </c>
      <c r="F4" s="91">
        <v>20400</v>
      </c>
      <c r="G4" s="91">
        <v>19700</v>
      </c>
      <c r="H4" s="91">
        <f>((D4*F4)+(E4*G4))</f>
        <v>17076000</v>
      </c>
      <c r="I4" s="91">
        <f>H4*6</f>
        <v>102456000</v>
      </c>
    </row>
    <row r="5" spans="1:9" x14ac:dyDescent="0.35">
      <c r="A5" s="83">
        <f>A4+1</f>
        <v>2</v>
      </c>
      <c r="B5" s="83" t="s">
        <v>22</v>
      </c>
      <c r="C5" s="85">
        <f t="shared" ref="C5:C10" si="0">D5+E5</f>
        <v>991</v>
      </c>
      <c r="D5" s="86">
        <v>461</v>
      </c>
      <c r="E5" s="86">
        <v>530</v>
      </c>
      <c r="F5" s="84">
        <f>F4</f>
        <v>20400</v>
      </c>
      <c r="G5" s="84">
        <f>G4</f>
        <v>19700</v>
      </c>
      <c r="H5" s="84">
        <f t="shared" ref="H5:H10" si="1">((D5*F5)+(E5*G5))</f>
        <v>19845400</v>
      </c>
      <c r="I5" s="84">
        <f t="shared" ref="I5:I10" si="2">H5*6</f>
        <v>119072400</v>
      </c>
    </row>
    <row r="6" spans="1:9" x14ac:dyDescent="0.35">
      <c r="A6" s="83">
        <f t="shared" ref="A6:A10" si="3">A5+1</f>
        <v>3</v>
      </c>
      <c r="B6" s="83" t="s">
        <v>23</v>
      </c>
      <c r="C6" s="85">
        <f t="shared" si="0"/>
        <v>978</v>
      </c>
      <c r="D6" s="86">
        <v>368</v>
      </c>
      <c r="E6" s="86">
        <v>610</v>
      </c>
      <c r="F6" s="84">
        <f t="shared" ref="F6:G10" si="4">F5</f>
        <v>20400</v>
      </c>
      <c r="G6" s="84">
        <f t="shared" si="4"/>
        <v>19700</v>
      </c>
      <c r="H6" s="84">
        <f t="shared" si="1"/>
        <v>19524200</v>
      </c>
      <c r="I6" s="84">
        <f t="shared" si="2"/>
        <v>117145200</v>
      </c>
    </row>
    <row r="7" spans="1:9" x14ac:dyDescent="0.35">
      <c r="A7" s="83">
        <f t="shared" si="3"/>
        <v>4</v>
      </c>
      <c r="B7" s="83" t="s">
        <v>9</v>
      </c>
      <c r="C7" s="85">
        <f t="shared" si="0"/>
        <v>918</v>
      </c>
      <c r="D7" s="86">
        <v>218</v>
      </c>
      <c r="E7" s="86">
        <v>700</v>
      </c>
      <c r="F7" s="84">
        <f t="shared" si="4"/>
        <v>20400</v>
      </c>
      <c r="G7" s="84">
        <f t="shared" si="4"/>
        <v>19700</v>
      </c>
      <c r="H7" s="84">
        <f t="shared" si="1"/>
        <v>18237200</v>
      </c>
      <c r="I7" s="84">
        <f t="shared" si="2"/>
        <v>109423200</v>
      </c>
    </row>
    <row r="8" spans="1:9" x14ac:dyDescent="0.35">
      <c r="A8" s="83">
        <f t="shared" si="3"/>
        <v>5</v>
      </c>
      <c r="B8" s="83" t="s">
        <v>10</v>
      </c>
      <c r="C8" s="85">
        <f t="shared" si="0"/>
        <v>929</v>
      </c>
      <c r="D8" s="86">
        <v>611</v>
      </c>
      <c r="E8" s="86">
        <v>318</v>
      </c>
      <c r="F8" s="84">
        <f t="shared" si="4"/>
        <v>20400</v>
      </c>
      <c r="G8" s="84">
        <f t="shared" si="4"/>
        <v>19700</v>
      </c>
      <c r="H8" s="84">
        <f t="shared" si="1"/>
        <v>18729000</v>
      </c>
      <c r="I8" s="84">
        <f t="shared" si="2"/>
        <v>112374000</v>
      </c>
    </row>
    <row r="9" spans="1:9" x14ac:dyDescent="0.35">
      <c r="A9" s="83">
        <f t="shared" si="3"/>
        <v>6</v>
      </c>
      <c r="B9" s="83" t="s">
        <v>11</v>
      </c>
      <c r="C9" s="85">
        <f t="shared" si="0"/>
        <v>88</v>
      </c>
      <c r="D9" s="86">
        <v>12</v>
      </c>
      <c r="E9" s="86">
        <v>76</v>
      </c>
      <c r="F9" s="84">
        <f t="shared" si="4"/>
        <v>20400</v>
      </c>
      <c r="G9" s="84">
        <f t="shared" si="4"/>
        <v>19700</v>
      </c>
      <c r="H9" s="84">
        <f t="shared" si="1"/>
        <v>1742000</v>
      </c>
      <c r="I9" s="84">
        <f t="shared" si="2"/>
        <v>10452000</v>
      </c>
    </row>
    <row r="10" spans="1:9" x14ac:dyDescent="0.35">
      <c r="A10" s="83">
        <f t="shared" si="3"/>
        <v>7</v>
      </c>
      <c r="B10" s="83" t="s">
        <v>24</v>
      </c>
      <c r="C10" s="85">
        <f t="shared" si="0"/>
        <v>244</v>
      </c>
      <c r="D10" s="86">
        <v>8</v>
      </c>
      <c r="E10" s="86">
        <v>236</v>
      </c>
      <c r="F10" s="84">
        <f t="shared" si="4"/>
        <v>20400</v>
      </c>
      <c r="G10" s="84">
        <f t="shared" si="4"/>
        <v>19700</v>
      </c>
      <c r="H10" s="84">
        <f t="shared" si="1"/>
        <v>4812400</v>
      </c>
      <c r="I10" s="84">
        <f t="shared" si="2"/>
        <v>28874400</v>
      </c>
    </row>
    <row r="11" spans="1:9" x14ac:dyDescent="0.35">
      <c r="A11" s="282" t="s">
        <v>26</v>
      </c>
      <c r="B11" s="282"/>
      <c r="C11" s="96">
        <f>C4+C5+C6+C7+C8+C9+C10</f>
        <v>5004</v>
      </c>
      <c r="D11" s="96">
        <f>SUM(D4:D10)</f>
        <v>1982</v>
      </c>
      <c r="E11" s="96">
        <f>SUM(E4:E10)</f>
        <v>3022</v>
      </c>
      <c r="F11" s="283"/>
      <c r="G11" s="284"/>
      <c r="H11" s="97">
        <f>H4+H5+H6+H7+H8+H9+H10</f>
        <v>99966200</v>
      </c>
      <c r="I11" s="97">
        <f>I4+I5+I6+I7+I8+I9+I10</f>
        <v>599797200</v>
      </c>
    </row>
    <row r="13" spans="1:9" x14ac:dyDescent="0.35">
      <c r="I13" s="82">
        <f>I11*2</f>
        <v>1199594400</v>
      </c>
    </row>
    <row r="14" spans="1:9" x14ac:dyDescent="0.35">
      <c r="I14" s="82">
        <f>I11*7%+I11</f>
        <v>641783004</v>
      </c>
    </row>
    <row r="16" spans="1:9" x14ac:dyDescent="0.35">
      <c r="I16" t="s">
        <v>38</v>
      </c>
    </row>
    <row r="17" spans="6:7" x14ac:dyDescent="0.35">
      <c r="F17" s="82">
        <f>F4*7%+F4</f>
        <v>21828</v>
      </c>
      <c r="G17" s="82">
        <f>G4*7%+G4</f>
        <v>21079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workbookViewId="0"/>
  </sheetViews>
  <sheetFormatPr defaultRowHeight="14.5" x14ac:dyDescent="0.35"/>
  <sheetData>
    <row r="1" spans="1:9" x14ac:dyDescent="0.35">
      <c r="A1" s="285" t="s">
        <v>37</v>
      </c>
      <c r="B1" s="286"/>
      <c r="C1" s="286"/>
      <c r="D1" s="286"/>
      <c r="E1" s="286"/>
      <c r="F1" s="286"/>
      <c r="G1" s="286"/>
      <c r="H1" s="286"/>
      <c r="I1" s="287"/>
    </row>
    <row r="2" spans="1:9" ht="87" x14ac:dyDescent="0.35">
      <c r="A2" s="288" t="s">
        <v>0</v>
      </c>
      <c r="B2" s="95" t="s">
        <v>20</v>
      </c>
      <c r="C2" s="95" t="s">
        <v>25</v>
      </c>
      <c r="D2" s="290" t="s">
        <v>28</v>
      </c>
      <c r="E2" s="290"/>
      <c r="F2" s="290" t="s">
        <v>28</v>
      </c>
      <c r="G2" s="290"/>
      <c r="H2" s="291" t="s">
        <v>18</v>
      </c>
      <c r="I2" s="280" t="s">
        <v>36</v>
      </c>
    </row>
    <row r="3" spans="1:9" x14ac:dyDescent="0.35">
      <c r="A3" s="289"/>
      <c r="B3" s="98"/>
      <c r="C3" s="98"/>
      <c r="D3" s="98" t="s">
        <v>29</v>
      </c>
      <c r="E3" s="98" t="s">
        <v>30</v>
      </c>
      <c r="F3" s="98" t="s">
        <v>29</v>
      </c>
      <c r="G3" s="98" t="s">
        <v>30</v>
      </c>
      <c r="H3" s="292"/>
      <c r="I3" s="281"/>
    </row>
    <row r="4" spans="1:9" x14ac:dyDescent="0.35">
      <c r="A4" s="89">
        <v>1</v>
      </c>
      <c r="B4" s="89" t="s">
        <v>21</v>
      </c>
      <c r="C4" s="90">
        <f>D4+E4</f>
        <v>856</v>
      </c>
      <c r="D4" s="90">
        <v>304</v>
      </c>
      <c r="E4" s="90">
        <v>552</v>
      </c>
      <c r="F4" s="91">
        <v>21828</v>
      </c>
      <c r="G4" s="91">
        <v>21079</v>
      </c>
      <c r="H4" s="91">
        <f>((D4*F4)+(E4*G4))</f>
        <v>18271320</v>
      </c>
      <c r="I4" s="91">
        <f>H4*6</f>
        <v>109627920</v>
      </c>
    </row>
    <row r="5" spans="1:9" x14ac:dyDescent="0.35">
      <c r="A5" s="83">
        <f>A4+1</f>
        <v>2</v>
      </c>
      <c r="B5" s="83" t="s">
        <v>22</v>
      </c>
      <c r="C5" s="85">
        <f t="shared" ref="C5:C10" si="0">D5+E5</f>
        <v>991</v>
      </c>
      <c r="D5" s="86">
        <v>461</v>
      </c>
      <c r="E5" s="86">
        <v>530</v>
      </c>
      <c r="F5" s="84">
        <v>21828</v>
      </c>
      <c r="G5" s="84">
        <v>21079</v>
      </c>
      <c r="H5" s="84">
        <f t="shared" ref="H5:H10" si="1">((D5*F5)+(E5*G5))</f>
        <v>21234578</v>
      </c>
      <c r="I5" s="84">
        <f t="shared" ref="I5:I10" si="2">H5*6</f>
        <v>127407468</v>
      </c>
    </row>
    <row r="6" spans="1:9" x14ac:dyDescent="0.35">
      <c r="A6" s="83">
        <f t="shared" ref="A6:A10" si="3">A5+1</f>
        <v>3</v>
      </c>
      <c r="B6" s="83" t="s">
        <v>23</v>
      </c>
      <c r="C6" s="85">
        <f t="shared" si="0"/>
        <v>978</v>
      </c>
      <c r="D6" s="86">
        <v>368</v>
      </c>
      <c r="E6" s="86">
        <v>610</v>
      </c>
      <c r="F6" s="84">
        <v>21828</v>
      </c>
      <c r="G6" s="84">
        <v>21079</v>
      </c>
      <c r="H6" s="84">
        <f t="shared" si="1"/>
        <v>20890894</v>
      </c>
      <c r="I6" s="84">
        <f t="shared" si="2"/>
        <v>125345364</v>
      </c>
    </row>
    <row r="7" spans="1:9" x14ac:dyDescent="0.35">
      <c r="A7" s="83">
        <f t="shared" si="3"/>
        <v>4</v>
      </c>
      <c r="B7" s="83" t="s">
        <v>9</v>
      </c>
      <c r="C7" s="85">
        <f t="shared" si="0"/>
        <v>918</v>
      </c>
      <c r="D7" s="86">
        <v>218</v>
      </c>
      <c r="E7" s="86">
        <v>700</v>
      </c>
      <c r="F7" s="84">
        <v>21828</v>
      </c>
      <c r="G7" s="84">
        <v>21079</v>
      </c>
      <c r="H7" s="84">
        <f t="shared" si="1"/>
        <v>19513804</v>
      </c>
      <c r="I7" s="84">
        <f t="shared" si="2"/>
        <v>117082824</v>
      </c>
    </row>
    <row r="8" spans="1:9" x14ac:dyDescent="0.35">
      <c r="A8" s="83">
        <f t="shared" si="3"/>
        <v>5</v>
      </c>
      <c r="B8" s="83" t="s">
        <v>10</v>
      </c>
      <c r="C8" s="85">
        <f t="shared" si="0"/>
        <v>929</v>
      </c>
      <c r="D8" s="86">
        <v>611</v>
      </c>
      <c r="E8" s="86">
        <v>318</v>
      </c>
      <c r="F8" s="84">
        <v>21828</v>
      </c>
      <c r="G8" s="84">
        <v>21079</v>
      </c>
      <c r="H8" s="84">
        <f t="shared" si="1"/>
        <v>20040030</v>
      </c>
      <c r="I8" s="84">
        <f t="shared" si="2"/>
        <v>120240180</v>
      </c>
    </row>
    <row r="9" spans="1:9" x14ac:dyDescent="0.35">
      <c r="A9" s="83">
        <f t="shared" si="3"/>
        <v>6</v>
      </c>
      <c r="B9" s="83" t="s">
        <v>11</v>
      </c>
      <c r="C9" s="85">
        <f t="shared" si="0"/>
        <v>88</v>
      </c>
      <c r="D9" s="86">
        <v>12</v>
      </c>
      <c r="E9" s="86">
        <v>76</v>
      </c>
      <c r="F9" s="84">
        <v>21828</v>
      </c>
      <c r="G9" s="84">
        <v>21079</v>
      </c>
      <c r="H9" s="84">
        <f t="shared" si="1"/>
        <v>1863940</v>
      </c>
      <c r="I9" s="84">
        <f t="shared" si="2"/>
        <v>11183640</v>
      </c>
    </row>
    <row r="10" spans="1:9" x14ac:dyDescent="0.35">
      <c r="A10" s="83">
        <f t="shared" si="3"/>
        <v>7</v>
      </c>
      <c r="B10" s="83" t="s">
        <v>24</v>
      </c>
      <c r="C10" s="85">
        <f t="shared" si="0"/>
        <v>244</v>
      </c>
      <c r="D10" s="86">
        <v>8</v>
      </c>
      <c r="E10" s="86">
        <v>236</v>
      </c>
      <c r="F10" s="84">
        <v>21828</v>
      </c>
      <c r="G10" s="84">
        <v>21079</v>
      </c>
      <c r="H10" s="84">
        <f t="shared" si="1"/>
        <v>5149268</v>
      </c>
      <c r="I10" s="84">
        <f t="shared" si="2"/>
        <v>30895608</v>
      </c>
    </row>
    <row r="11" spans="1:9" x14ac:dyDescent="0.35">
      <c r="A11" s="282" t="s">
        <v>26</v>
      </c>
      <c r="B11" s="282"/>
      <c r="C11" s="96">
        <f>C4+C5+C6+C7+C8+C9+C10</f>
        <v>5004</v>
      </c>
      <c r="D11" s="96">
        <f t="shared" ref="D11:E11" si="4">D4+D5+D6+D7+D8+D9+D10</f>
        <v>1982</v>
      </c>
      <c r="E11" s="96">
        <f t="shared" si="4"/>
        <v>3022</v>
      </c>
      <c r="F11" s="283"/>
      <c r="G11" s="284"/>
      <c r="H11" s="97">
        <f>H4+H5+H6+H7+H8+H9+H10</f>
        <v>106963834</v>
      </c>
      <c r="I11" s="97">
        <f>I4+I5+I6+I7+I8+I9+I10</f>
        <v>641783004</v>
      </c>
    </row>
    <row r="13" spans="1:9" x14ac:dyDescent="0.35">
      <c r="C13">
        <f>C11/2</f>
        <v>2502</v>
      </c>
      <c r="I13" s="82">
        <f>I11*2</f>
        <v>1283566008</v>
      </c>
    </row>
    <row r="14" spans="1:9" x14ac:dyDescent="0.35">
      <c r="C14" s="114">
        <f>C11+C13</f>
        <v>7506</v>
      </c>
      <c r="D14" s="115"/>
      <c r="E14" s="82"/>
      <c r="I14" s="82">
        <f>I11*7%+I11</f>
        <v>686707814.27999997</v>
      </c>
    </row>
    <row r="16" spans="1:9" x14ac:dyDescent="0.35">
      <c r="E16">
        <f>D8/2</f>
        <v>305.5</v>
      </c>
      <c r="F16">
        <f>E8/2</f>
        <v>159</v>
      </c>
      <c r="I16" t="s">
        <v>38</v>
      </c>
    </row>
    <row r="17" spans="6:9" x14ac:dyDescent="0.35">
      <c r="F17" s="82"/>
      <c r="G17" s="82"/>
    </row>
    <row r="18" spans="6:9" x14ac:dyDescent="0.35">
      <c r="I18" s="82">
        <f>I11-48395604</f>
        <v>593387400</v>
      </c>
    </row>
    <row r="19" spans="6:9" x14ac:dyDescent="0.35">
      <c r="I19" s="82">
        <f>I11-I18</f>
        <v>48395604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33"/>
  <sheetViews>
    <sheetView workbookViewId="0"/>
  </sheetViews>
  <sheetFormatPr defaultRowHeight="14.5" x14ac:dyDescent="0.35"/>
  <sheetData>
    <row r="2" spans="2:15" ht="43.5" x14ac:dyDescent="0.35">
      <c r="B2" s="95" t="s">
        <v>0</v>
      </c>
      <c r="C2" s="95" t="s">
        <v>20</v>
      </c>
      <c r="D2" s="95" t="s">
        <v>25</v>
      </c>
      <c r="E2" s="290" t="s">
        <v>28</v>
      </c>
      <c r="F2" s="290"/>
      <c r="G2" s="290" t="s">
        <v>28</v>
      </c>
      <c r="H2" s="290"/>
      <c r="I2" s="291" t="s">
        <v>18</v>
      </c>
      <c r="J2" s="295" t="s">
        <v>27</v>
      </c>
    </row>
    <row r="3" spans="2:15" x14ac:dyDescent="0.35">
      <c r="B3" s="95"/>
      <c r="C3" s="95"/>
      <c r="D3" s="95"/>
      <c r="E3" s="95" t="s">
        <v>29</v>
      </c>
      <c r="F3" s="95" t="s">
        <v>30</v>
      </c>
      <c r="G3" s="95" t="s">
        <v>29</v>
      </c>
      <c r="H3" s="95" t="s">
        <v>30</v>
      </c>
      <c r="I3" s="303"/>
      <c r="J3" s="296"/>
    </row>
    <row r="4" spans="2:15" x14ac:dyDescent="0.35">
      <c r="B4" s="83">
        <v>1</v>
      </c>
      <c r="C4" s="83" t="s">
        <v>21</v>
      </c>
      <c r="D4" s="85">
        <f>E4+F4</f>
        <v>856</v>
      </c>
      <c r="E4" s="85">
        <v>304</v>
      </c>
      <c r="F4" s="85">
        <v>552</v>
      </c>
      <c r="G4" s="84">
        <v>22406.499374999999</v>
      </c>
      <c r="H4" s="84">
        <v>21486.499374999999</v>
      </c>
      <c r="I4" s="84">
        <f>((G4*E4)+(F4*H4))</f>
        <v>18672123.465</v>
      </c>
      <c r="J4" s="84">
        <f>I4*12</f>
        <v>224065481.57999998</v>
      </c>
      <c r="K4">
        <f>O4-D4</f>
        <v>-232</v>
      </c>
      <c r="L4" t="s">
        <v>21</v>
      </c>
      <c r="M4">
        <v>188</v>
      </c>
      <c r="N4">
        <v>436</v>
      </c>
      <c r="O4">
        <f>M4+N4</f>
        <v>624</v>
      </c>
    </row>
    <row r="5" spans="2:15" x14ac:dyDescent="0.35">
      <c r="B5" s="83">
        <f>B4+1</f>
        <v>2</v>
      </c>
      <c r="C5" s="83" t="s">
        <v>22</v>
      </c>
      <c r="D5" s="85">
        <f t="shared" ref="D5:D10" si="0">E5+F5</f>
        <v>991</v>
      </c>
      <c r="E5" s="86">
        <v>461</v>
      </c>
      <c r="F5" s="86">
        <v>530</v>
      </c>
      <c r="G5" s="84">
        <v>22406.499374999999</v>
      </c>
      <c r="H5" s="84">
        <v>21486.499374999999</v>
      </c>
      <c r="I5" s="84">
        <f t="shared" ref="I5:I10" si="1">((G5*E5)+(F5*H5))</f>
        <v>21717240.880624998</v>
      </c>
      <c r="J5" s="84">
        <f t="shared" ref="J5:J10" si="2">I5*12</f>
        <v>260606890.5675</v>
      </c>
      <c r="K5">
        <f t="shared" ref="K5:K10" si="3">O5-D5</f>
        <v>0</v>
      </c>
      <c r="L5" t="s">
        <v>31</v>
      </c>
      <c r="M5">
        <v>461</v>
      </c>
      <c r="N5">
        <v>530</v>
      </c>
      <c r="O5">
        <f t="shared" ref="O5:O11" si="4">M5+N5</f>
        <v>991</v>
      </c>
    </row>
    <row r="6" spans="2:15" x14ac:dyDescent="0.35">
      <c r="B6" s="83">
        <f t="shared" ref="B6:B10" si="5">B5+1</f>
        <v>3</v>
      </c>
      <c r="C6" s="83" t="s">
        <v>23</v>
      </c>
      <c r="D6" s="85">
        <f t="shared" si="0"/>
        <v>978</v>
      </c>
      <c r="E6" s="86">
        <v>368</v>
      </c>
      <c r="F6" s="86">
        <v>610</v>
      </c>
      <c r="G6" s="84">
        <v>22406.499374999999</v>
      </c>
      <c r="H6" s="84">
        <v>21486.499374999999</v>
      </c>
      <c r="I6" s="84">
        <f t="shared" si="1"/>
        <v>21352356.388750002</v>
      </c>
      <c r="J6" s="84">
        <f t="shared" si="2"/>
        <v>256228276.66500002</v>
      </c>
      <c r="K6">
        <f t="shared" si="3"/>
        <v>0</v>
      </c>
      <c r="L6" t="s">
        <v>32</v>
      </c>
      <c r="M6">
        <v>368</v>
      </c>
      <c r="N6">
        <v>610</v>
      </c>
      <c r="O6">
        <f t="shared" si="4"/>
        <v>978</v>
      </c>
    </row>
    <row r="7" spans="2:15" x14ac:dyDescent="0.35">
      <c r="B7" s="83">
        <f t="shared" si="5"/>
        <v>4</v>
      </c>
      <c r="C7" s="83" t="s">
        <v>9</v>
      </c>
      <c r="D7" s="85">
        <f t="shared" si="0"/>
        <v>918</v>
      </c>
      <c r="E7" s="86">
        <v>218</v>
      </c>
      <c r="F7" s="86">
        <v>700</v>
      </c>
      <c r="G7" s="84">
        <v>22406.499374999999</v>
      </c>
      <c r="H7" s="84">
        <v>21486.499374999999</v>
      </c>
      <c r="I7" s="84">
        <f t="shared" si="1"/>
        <v>19925166.42625</v>
      </c>
      <c r="J7" s="84">
        <f t="shared" si="2"/>
        <v>239101997.11500001</v>
      </c>
      <c r="K7">
        <f t="shared" si="3"/>
        <v>0</v>
      </c>
      <c r="L7" t="s">
        <v>33</v>
      </c>
      <c r="M7">
        <v>218</v>
      </c>
      <c r="N7">
        <v>700</v>
      </c>
      <c r="O7">
        <f t="shared" si="4"/>
        <v>918</v>
      </c>
    </row>
    <row r="8" spans="2:15" x14ac:dyDescent="0.35">
      <c r="B8" s="83">
        <f t="shared" si="5"/>
        <v>5</v>
      </c>
      <c r="C8" s="83" t="s">
        <v>10</v>
      </c>
      <c r="D8" s="85">
        <f t="shared" si="0"/>
        <v>929</v>
      </c>
      <c r="E8" s="86">
        <v>611</v>
      </c>
      <c r="F8" s="86">
        <v>318</v>
      </c>
      <c r="G8" s="84">
        <v>22406.499374999999</v>
      </c>
      <c r="H8" s="84">
        <v>21486.499374999999</v>
      </c>
      <c r="I8" s="84">
        <f t="shared" si="1"/>
        <v>20523077.919374999</v>
      </c>
      <c r="J8" s="84">
        <f t="shared" si="2"/>
        <v>246276935.03249997</v>
      </c>
      <c r="K8">
        <f t="shared" si="3"/>
        <v>0</v>
      </c>
      <c r="L8" t="s">
        <v>34</v>
      </c>
      <c r="M8">
        <v>611</v>
      </c>
      <c r="N8">
        <v>318</v>
      </c>
      <c r="O8">
        <f t="shared" si="4"/>
        <v>929</v>
      </c>
    </row>
    <row r="9" spans="2:15" x14ac:dyDescent="0.35">
      <c r="B9" s="83">
        <f t="shared" si="5"/>
        <v>6</v>
      </c>
      <c r="C9" s="83" t="s">
        <v>11</v>
      </c>
      <c r="D9" s="85">
        <f t="shared" si="0"/>
        <v>88</v>
      </c>
      <c r="E9" s="86">
        <v>12</v>
      </c>
      <c r="F9" s="86">
        <v>76</v>
      </c>
      <c r="G9" s="84">
        <v>22406.499374999999</v>
      </c>
      <c r="H9" s="84">
        <v>21486.499374999999</v>
      </c>
      <c r="I9" s="84">
        <f t="shared" si="1"/>
        <v>1901851.9449999998</v>
      </c>
      <c r="J9" s="84">
        <f t="shared" si="2"/>
        <v>22822223.339999996</v>
      </c>
      <c r="K9">
        <f t="shared" si="3"/>
        <v>0</v>
      </c>
      <c r="L9" t="s">
        <v>11</v>
      </c>
      <c r="M9">
        <v>12</v>
      </c>
      <c r="N9">
        <v>76</v>
      </c>
      <c r="O9">
        <f t="shared" si="4"/>
        <v>88</v>
      </c>
    </row>
    <row r="10" spans="2:15" x14ac:dyDescent="0.35">
      <c r="B10" s="83">
        <f t="shared" si="5"/>
        <v>7</v>
      </c>
      <c r="C10" s="83" t="s">
        <v>24</v>
      </c>
      <c r="D10" s="85">
        <f t="shared" si="0"/>
        <v>244</v>
      </c>
      <c r="E10" s="86">
        <v>8</v>
      </c>
      <c r="F10" s="86">
        <v>236</v>
      </c>
      <c r="G10" s="84">
        <v>22406.499374999999</v>
      </c>
      <c r="H10" s="84">
        <v>21486.499374999999</v>
      </c>
      <c r="I10" s="84">
        <f t="shared" si="1"/>
        <v>5250065.8475000001</v>
      </c>
      <c r="J10" s="84">
        <f t="shared" si="2"/>
        <v>63000790.170000002</v>
      </c>
      <c r="K10">
        <f t="shared" si="3"/>
        <v>-156</v>
      </c>
      <c r="L10" t="s">
        <v>35</v>
      </c>
      <c r="M10">
        <v>0</v>
      </c>
      <c r="N10">
        <v>88</v>
      </c>
      <c r="O10">
        <f t="shared" si="4"/>
        <v>88</v>
      </c>
    </row>
    <row r="11" spans="2:15" x14ac:dyDescent="0.35">
      <c r="B11" s="282" t="s">
        <v>26</v>
      </c>
      <c r="C11" s="282"/>
      <c r="D11" s="96">
        <f>D4+D5+D6+D7+D8+D9+D10</f>
        <v>5004</v>
      </c>
      <c r="E11" s="96">
        <f>SUM(E4:E10)</f>
        <v>1982</v>
      </c>
      <c r="F11" s="96">
        <f>SUM(F4:F10)</f>
        <v>3022</v>
      </c>
      <c r="G11" s="283"/>
      <c r="H11" s="284"/>
      <c r="I11" s="97">
        <f>I4+I5+I6+I7+I8+I9+I10</f>
        <v>109341882.87249999</v>
      </c>
      <c r="J11" s="97">
        <f>J4+J5+J6+J7+J8+J9+J10</f>
        <v>1312102594.47</v>
      </c>
      <c r="M11" s="88">
        <f>M4+M5+M6+M7+M8+M9+M10</f>
        <v>1858</v>
      </c>
      <c r="N11" s="88">
        <f>N4+N5+N6+N7+N8+N9+N10</f>
        <v>2758</v>
      </c>
      <c r="O11" s="88">
        <f t="shared" si="4"/>
        <v>4616</v>
      </c>
    </row>
    <row r="12" spans="2:15" x14ac:dyDescent="0.35">
      <c r="E12" s="94"/>
      <c r="J12" s="111"/>
    </row>
    <row r="13" spans="2:15" ht="28.5" x14ac:dyDescent="0.35">
      <c r="G13" s="116">
        <f>G4*E4</f>
        <v>6811575.8099999996</v>
      </c>
      <c r="H13" s="116">
        <f>H4*F4</f>
        <v>11860547.654999999</v>
      </c>
      <c r="I13" s="82">
        <f>G13+H13</f>
        <v>18672123.465</v>
      </c>
      <c r="J13" s="82">
        <f>J11-1200000000</f>
        <v>112102594.47000003</v>
      </c>
      <c r="L13" s="112">
        <v>4856</v>
      </c>
    </row>
    <row r="14" spans="2:15" x14ac:dyDescent="0.35">
      <c r="J14" s="82">
        <f>J13/2</f>
        <v>56051297.235000014</v>
      </c>
    </row>
    <row r="15" spans="2:15" x14ac:dyDescent="0.35">
      <c r="F15" s="87">
        <v>439</v>
      </c>
      <c r="G15" s="87">
        <v>780</v>
      </c>
      <c r="J15" s="82">
        <f>J14+'7% Increase'!I19</f>
        <v>104446901.23500001</v>
      </c>
    </row>
    <row r="16" spans="2:15" x14ac:dyDescent="0.35">
      <c r="F16" s="87">
        <v>1339</v>
      </c>
      <c r="G16" s="87">
        <v>1524</v>
      </c>
    </row>
    <row r="17" spans="3:16" x14ac:dyDescent="0.35">
      <c r="D17" s="87">
        <v>2</v>
      </c>
      <c r="E17" s="87">
        <f>F17+G17</f>
        <v>4082</v>
      </c>
      <c r="F17" s="87">
        <f>F15+F16</f>
        <v>1778</v>
      </c>
      <c r="G17" s="87">
        <f>G15+G16</f>
        <v>2304</v>
      </c>
    </row>
    <row r="19" spans="3:16" x14ac:dyDescent="0.35">
      <c r="C19">
        <v>20400</v>
      </c>
      <c r="D19" s="87">
        <v>19700</v>
      </c>
      <c r="L19" s="93">
        <v>14947.13</v>
      </c>
      <c r="P19" s="93">
        <v>14947.13</v>
      </c>
    </row>
    <row r="20" spans="3:16" ht="232" x14ac:dyDescent="0.35">
      <c r="C20" s="92">
        <f>C19*19%+C19</f>
        <v>24276</v>
      </c>
      <c r="D20" s="93">
        <f>D19*19%+D19</f>
        <v>23443</v>
      </c>
      <c r="E20" s="93"/>
      <c r="F20" s="297" t="s">
        <v>42</v>
      </c>
      <c r="G20" s="298"/>
      <c r="H20" s="298"/>
      <c r="I20" s="299"/>
    </row>
    <row r="21" spans="3:16" ht="87" x14ac:dyDescent="0.35">
      <c r="D21" s="102"/>
      <c r="E21" s="102"/>
      <c r="F21" s="103" t="s">
        <v>40</v>
      </c>
      <c r="G21" s="105" t="s">
        <v>29</v>
      </c>
      <c r="H21" s="105" t="s">
        <v>30</v>
      </c>
      <c r="I21" s="104"/>
      <c r="L21" s="1">
        <v>20400</v>
      </c>
      <c r="M21" s="1">
        <v>19700</v>
      </c>
    </row>
    <row r="22" spans="3:16" x14ac:dyDescent="0.35">
      <c r="F22" s="300">
        <v>0.4</v>
      </c>
      <c r="G22" s="106">
        <f>H22+800</f>
        <v>21725</v>
      </c>
      <c r="H22" s="106">
        <v>20925</v>
      </c>
      <c r="I22" s="99" t="s">
        <v>41</v>
      </c>
      <c r="L22">
        <f>L21*7%+L21</f>
        <v>21828</v>
      </c>
      <c r="M22">
        <f>M21*7%+M21</f>
        <v>21079</v>
      </c>
    </row>
    <row r="23" spans="3:16" x14ac:dyDescent="0.35">
      <c r="F23" s="301"/>
      <c r="G23" s="107">
        <f>G22*15%+G22</f>
        <v>24983.75</v>
      </c>
      <c r="H23" s="107">
        <f>H22*15%+H22</f>
        <v>24063.75</v>
      </c>
      <c r="I23" s="100" t="s">
        <v>39</v>
      </c>
      <c r="L23">
        <f>L21*13%+L21</f>
        <v>23052</v>
      </c>
      <c r="M23">
        <f>M21*13%+M21</f>
        <v>22261</v>
      </c>
    </row>
    <row r="24" spans="3:16" x14ac:dyDescent="0.35">
      <c r="F24" s="302">
        <v>0.3</v>
      </c>
      <c r="G24" s="106">
        <f>H24+800</f>
        <v>20231.269</v>
      </c>
      <c r="H24" s="106">
        <f>L19*30%+L19</f>
        <v>19431.269</v>
      </c>
      <c r="I24" s="101" t="s">
        <v>41</v>
      </c>
    </row>
    <row r="25" spans="3:16" x14ac:dyDescent="0.35">
      <c r="F25" s="294"/>
      <c r="G25" s="107">
        <f>G24*15%+G24</f>
        <v>23265.959350000001</v>
      </c>
      <c r="H25" s="107">
        <f>H24*15%+H24</f>
        <v>22345.959350000001</v>
      </c>
      <c r="I25" s="100" t="s">
        <v>39</v>
      </c>
    </row>
    <row r="26" spans="3:16" x14ac:dyDescent="0.35">
      <c r="F26" s="293">
        <v>0.25</v>
      </c>
      <c r="G26" s="108">
        <f>H26+800</f>
        <v>19483.912499999999</v>
      </c>
      <c r="H26" s="108">
        <f>P19*25%+P19</f>
        <v>18683.912499999999</v>
      </c>
      <c r="I26" s="110" t="s">
        <v>41</v>
      </c>
    </row>
    <row r="27" spans="3:16" x14ac:dyDescent="0.35">
      <c r="F27" s="294"/>
      <c r="G27" s="109">
        <f>G26*15%+G26</f>
        <v>22406.499374999999</v>
      </c>
      <c r="H27" s="109">
        <f>H26*15%+H26</f>
        <v>21486.499374999999</v>
      </c>
      <c r="I27" s="100" t="s">
        <v>39</v>
      </c>
    </row>
    <row r="31" spans="3:16" x14ac:dyDescent="0.35">
      <c r="F31" s="87" t="s">
        <v>43</v>
      </c>
      <c r="G31" s="87">
        <v>4856</v>
      </c>
      <c r="H31" s="113">
        <v>0.51</v>
      </c>
    </row>
    <row r="32" spans="3:16" ht="29" x14ac:dyDescent="0.35">
      <c r="F32" s="87" t="s">
        <v>44</v>
      </c>
      <c r="G32" s="94">
        <f>D11</f>
        <v>5004</v>
      </c>
      <c r="H32" s="113">
        <v>0.49</v>
      </c>
    </row>
    <row r="33" spans="7:8" x14ac:dyDescent="0.35">
      <c r="G33" s="94">
        <f>G31+G32</f>
        <v>9860</v>
      </c>
      <c r="H33" s="113">
        <f>H31+H32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9"/>
  <sheetViews>
    <sheetView tabSelected="1" workbookViewId="0">
      <selection activeCell="C1" sqref="C1:I1"/>
    </sheetView>
  </sheetViews>
  <sheetFormatPr defaultRowHeight="14.5" x14ac:dyDescent="0.35"/>
  <cols>
    <col min="2" max="2" width="5.81640625" bestFit="1" customWidth="1"/>
    <col min="3" max="3" width="32.1796875" customWidth="1"/>
    <col min="4" max="4" width="12.90625" customWidth="1"/>
    <col min="5" max="5" width="15.453125" customWidth="1"/>
    <col min="6" max="6" width="13.90625" customWidth="1"/>
    <col min="7" max="7" width="13.81640625" customWidth="1"/>
    <col min="8" max="8" width="12.54296875" customWidth="1"/>
    <col min="9" max="9" width="14.26953125" customWidth="1"/>
    <col min="10" max="10" width="22.36328125" customWidth="1"/>
    <col min="11" max="14" width="21.6328125" customWidth="1"/>
  </cols>
  <sheetData>
    <row r="1" spans="2:14" ht="38" customHeight="1" thickBot="1" x14ac:dyDescent="0.4">
      <c r="C1" s="394" t="s">
        <v>113</v>
      </c>
      <c r="D1" s="393"/>
      <c r="E1" s="393"/>
      <c r="F1" s="393"/>
      <c r="G1" s="393"/>
      <c r="H1" s="393"/>
      <c r="I1" s="393"/>
    </row>
    <row r="2" spans="2:14" ht="15" thickBot="1" x14ac:dyDescent="0.4">
      <c r="B2" s="372" t="s">
        <v>50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4"/>
    </row>
    <row r="3" spans="2:14" ht="28.5" thickBot="1" x14ac:dyDescent="0.4">
      <c r="B3" s="309" t="s">
        <v>0</v>
      </c>
      <c r="C3" s="349" t="s">
        <v>1</v>
      </c>
      <c r="D3" s="304" t="s">
        <v>2</v>
      </c>
      <c r="E3" s="353" t="s">
        <v>61</v>
      </c>
      <c r="F3" s="368" t="s">
        <v>57</v>
      </c>
      <c r="G3" s="369"/>
      <c r="H3" s="370" t="s">
        <v>59</v>
      </c>
      <c r="I3" s="371"/>
      <c r="J3" s="366" t="s">
        <v>58</v>
      </c>
      <c r="K3" s="336" t="s">
        <v>83</v>
      </c>
      <c r="L3" s="314" t="s">
        <v>84</v>
      </c>
      <c r="M3" s="314" t="s">
        <v>85</v>
      </c>
      <c r="N3" s="337" t="s">
        <v>86</v>
      </c>
    </row>
    <row r="4" spans="2:14" ht="15" thickBot="1" x14ac:dyDescent="0.4">
      <c r="B4" s="310"/>
      <c r="C4" s="318"/>
      <c r="D4" s="305"/>
      <c r="E4" s="354"/>
      <c r="F4" s="130" t="s">
        <v>4</v>
      </c>
      <c r="G4" s="245" t="s">
        <v>5</v>
      </c>
      <c r="H4" s="131" t="s">
        <v>4</v>
      </c>
      <c r="I4" s="132" t="s">
        <v>5</v>
      </c>
      <c r="J4" s="367"/>
      <c r="K4" s="338"/>
      <c r="L4" s="307"/>
      <c r="M4" s="307"/>
      <c r="N4" s="339"/>
    </row>
    <row r="5" spans="2:14" ht="28" x14ac:dyDescent="0.35">
      <c r="B5" s="133">
        <v>1</v>
      </c>
      <c r="C5" s="350" t="s">
        <v>96</v>
      </c>
      <c r="D5" s="358" t="s">
        <v>7</v>
      </c>
      <c r="E5" s="355">
        <f>F5+G5</f>
        <v>174</v>
      </c>
      <c r="F5" s="136">
        <v>84</v>
      </c>
      <c r="G5" s="136">
        <v>90</v>
      </c>
      <c r="H5" s="138"/>
      <c r="I5" s="139"/>
      <c r="J5" s="140"/>
      <c r="K5" s="140"/>
      <c r="L5" s="140"/>
      <c r="M5" s="140"/>
      <c r="N5" s="140"/>
    </row>
    <row r="6" spans="2:14" ht="28" x14ac:dyDescent="0.35">
      <c r="B6" s="141">
        <f t="shared" ref="B6:B8" si="0">B5+1</f>
        <v>2</v>
      </c>
      <c r="C6" s="351" t="s">
        <v>97</v>
      </c>
      <c r="D6" s="359" t="s">
        <v>7</v>
      </c>
      <c r="E6" s="356">
        <f t="shared" ref="E6:E8" si="1">F6+G6</f>
        <v>300</v>
      </c>
      <c r="F6" s="145">
        <v>120</v>
      </c>
      <c r="G6" s="145">
        <v>180</v>
      </c>
      <c r="H6" s="147"/>
      <c r="I6" s="148"/>
      <c r="J6" s="149"/>
      <c r="K6" s="149"/>
      <c r="L6" s="149"/>
      <c r="M6" s="149"/>
      <c r="N6" s="149"/>
    </row>
    <row r="7" spans="2:14" ht="42" x14ac:dyDescent="0.35">
      <c r="B7" s="141">
        <f t="shared" si="0"/>
        <v>3</v>
      </c>
      <c r="C7" s="351" t="s">
        <v>98</v>
      </c>
      <c r="D7" s="359" t="s">
        <v>7</v>
      </c>
      <c r="E7" s="356">
        <f t="shared" si="1"/>
        <v>204</v>
      </c>
      <c r="F7" s="145">
        <v>76</v>
      </c>
      <c r="G7" s="145">
        <v>128</v>
      </c>
      <c r="H7" s="147"/>
      <c r="I7" s="148"/>
      <c r="J7" s="149"/>
      <c r="K7" s="149"/>
      <c r="L7" s="149"/>
      <c r="M7" s="149"/>
      <c r="N7" s="149"/>
    </row>
    <row r="8" spans="2:14" ht="42.5" thickBot="1" x14ac:dyDescent="0.4">
      <c r="B8" s="150">
        <f t="shared" si="0"/>
        <v>4</v>
      </c>
      <c r="C8" s="352" t="s">
        <v>99</v>
      </c>
      <c r="D8" s="360" t="s">
        <v>7</v>
      </c>
      <c r="E8" s="357">
        <f t="shared" si="1"/>
        <v>300</v>
      </c>
      <c r="F8" s="153">
        <v>88</v>
      </c>
      <c r="G8" s="153">
        <v>212</v>
      </c>
      <c r="H8" s="154"/>
      <c r="I8" s="155"/>
      <c r="J8" s="156"/>
      <c r="K8" s="156"/>
      <c r="L8" s="156"/>
      <c r="M8" s="156"/>
      <c r="N8" s="156"/>
    </row>
    <row r="9" spans="2:14" s="88" customFormat="1" ht="15" thickBot="1" x14ac:dyDescent="0.4">
      <c r="B9" s="372" t="s">
        <v>26</v>
      </c>
      <c r="C9" s="373"/>
      <c r="D9" s="374"/>
      <c r="E9" s="361">
        <f>E5+E6+E7+E8</f>
        <v>978</v>
      </c>
      <c r="F9" s="362">
        <f>SUM(F5:F8)</f>
        <v>368</v>
      </c>
      <c r="G9" s="362">
        <f>SUM(G5:G8)</f>
        <v>610</v>
      </c>
      <c r="H9" s="312"/>
      <c r="I9" s="313"/>
      <c r="J9" s="234"/>
      <c r="K9" s="234"/>
      <c r="L9" s="234"/>
      <c r="M9" s="234"/>
      <c r="N9" s="234"/>
    </row>
  </sheetData>
  <mergeCells count="6">
    <mergeCell ref="C1:I1"/>
    <mergeCell ref="J3:J4"/>
    <mergeCell ref="F3:G3"/>
    <mergeCell ref="H3:I3"/>
    <mergeCell ref="B2:N2"/>
    <mergeCell ref="B9: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0"/>
  <sheetViews>
    <sheetView workbookViewId="0">
      <selection activeCell="B2" sqref="B2:N9"/>
    </sheetView>
  </sheetViews>
  <sheetFormatPr defaultRowHeight="14.5" x14ac:dyDescent="0.35"/>
  <cols>
    <col min="2" max="2" width="6.81640625" bestFit="1" customWidth="1"/>
    <col min="3" max="3" width="57.26953125" customWidth="1"/>
    <col min="4" max="4" width="12" customWidth="1"/>
    <col min="5" max="5" width="14.453125" customWidth="1"/>
    <col min="8" max="8" width="16.26953125" customWidth="1"/>
    <col min="9" max="9" width="16.36328125" customWidth="1"/>
    <col min="10" max="14" width="21.6328125" customWidth="1"/>
  </cols>
  <sheetData>
    <row r="1" spans="2:14" ht="15" thickBot="1" x14ac:dyDescent="0.4"/>
    <row r="2" spans="2:14" ht="15" thickBot="1" x14ac:dyDescent="0.4">
      <c r="B2" s="372" t="s">
        <v>51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4"/>
    </row>
    <row r="3" spans="2:14" ht="28" x14ac:dyDescent="0.35">
      <c r="B3" s="379" t="s">
        <v>0</v>
      </c>
      <c r="C3" s="377" t="s">
        <v>1</v>
      </c>
      <c r="D3" s="375" t="s">
        <v>2</v>
      </c>
      <c r="E3" s="314" t="s">
        <v>61</v>
      </c>
      <c r="F3" s="381" t="s">
        <v>60</v>
      </c>
      <c r="G3" s="382"/>
      <c r="H3" s="383" t="s">
        <v>59</v>
      </c>
      <c r="I3" s="384"/>
      <c r="J3" s="304" t="s">
        <v>87</v>
      </c>
      <c r="K3" s="336" t="s">
        <v>83</v>
      </c>
      <c r="L3" s="314" t="s">
        <v>84</v>
      </c>
      <c r="M3" s="340" t="s">
        <v>85</v>
      </c>
      <c r="N3" s="254" t="s">
        <v>86</v>
      </c>
    </row>
    <row r="4" spans="2:14" ht="15" thickBot="1" x14ac:dyDescent="0.4">
      <c r="B4" s="380"/>
      <c r="C4" s="378"/>
      <c r="D4" s="376"/>
      <c r="E4" s="307"/>
      <c r="F4" s="162" t="s">
        <v>4</v>
      </c>
      <c r="G4" s="163" t="s">
        <v>5</v>
      </c>
      <c r="H4" s="164" t="s">
        <v>4</v>
      </c>
      <c r="I4" s="165" t="s">
        <v>5</v>
      </c>
      <c r="J4" s="305"/>
      <c r="K4" s="338"/>
      <c r="L4" s="307"/>
      <c r="M4" s="341"/>
      <c r="N4" s="345"/>
    </row>
    <row r="5" spans="2:14" ht="56" x14ac:dyDescent="0.35">
      <c r="B5" s="166">
        <v>1</v>
      </c>
      <c r="C5" s="167" t="s">
        <v>92</v>
      </c>
      <c r="D5" s="168" t="s">
        <v>7</v>
      </c>
      <c r="E5" s="169">
        <f>F5+G5</f>
        <v>190</v>
      </c>
      <c r="F5" s="170">
        <v>90</v>
      </c>
      <c r="G5" s="171">
        <v>100</v>
      </c>
      <c r="H5" s="172"/>
      <c r="I5" s="173"/>
      <c r="J5" s="333"/>
      <c r="K5" s="333"/>
      <c r="L5" s="140"/>
      <c r="M5" s="344"/>
      <c r="N5" s="140"/>
    </row>
    <row r="6" spans="2:14" x14ac:dyDescent="0.35">
      <c r="B6" s="141">
        <f t="shared" ref="B6:B8" si="0">B5+1</f>
        <v>2</v>
      </c>
      <c r="C6" s="142" t="s">
        <v>93</v>
      </c>
      <c r="D6" s="176" t="s">
        <v>7</v>
      </c>
      <c r="E6" s="177">
        <f t="shared" ref="E6:E8" si="1">F6+G6</f>
        <v>200</v>
      </c>
      <c r="F6" s="178">
        <v>100</v>
      </c>
      <c r="G6" s="144">
        <v>100</v>
      </c>
      <c r="H6" s="147"/>
      <c r="I6" s="179"/>
      <c r="J6" s="180"/>
      <c r="K6" s="180"/>
      <c r="L6" s="149"/>
      <c r="M6" s="342"/>
      <c r="N6" s="149"/>
    </row>
    <row r="7" spans="2:14" x14ac:dyDescent="0.35">
      <c r="B7" s="141">
        <f t="shared" si="0"/>
        <v>3</v>
      </c>
      <c r="C7" s="142" t="s">
        <v>94</v>
      </c>
      <c r="D7" s="176" t="s">
        <v>7</v>
      </c>
      <c r="E7" s="177">
        <f t="shared" si="1"/>
        <v>301</v>
      </c>
      <c r="F7" s="178">
        <v>136</v>
      </c>
      <c r="G7" s="144">
        <v>165</v>
      </c>
      <c r="H7" s="147"/>
      <c r="I7" s="179"/>
      <c r="J7" s="180"/>
      <c r="K7" s="180"/>
      <c r="L7" s="149"/>
      <c r="M7" s="342"/>
      <c r="N7" s="149"/>
    </row>
    <row r="8" spans="2:14" x14ac:dyDescent="0.35">
      <c r="B8" s="181">
        <f t="shared" si="0"/>
        <v>4</v>
      </c>
      <c r="C8" s="182" t="s">
        <v>95</v>
      </c>
      <c r="D8" s="183" t="s">
        <v>7</v>
      </c>
      <c r="E8" s="184">
        <f t="shared" si="1"/>
        <v>300</v>
      </c>
      <c r="F8" s="185">
        <v>135</v>
      </c>
      <c r="G8" s="186">
        <v>165</v>
      </c>
      <c r="H8" s="187"/>
      <c r="I8" s="188"/>
      <c r="J8" s="190"/>
      <c r="K8" s="190"/>
      <c r="L8" s="189"/>
      <c r="M8" s="343"/>
      <c r="N8" s="149"/>
    </row>
    <row r="9" spans="2:14" x14ac:dyDescent="0.35">
      <c r="B9" s="306" t="s">
        <v>8</v>
      </c>
      <c r="C9" s="311"/>
      <c r="D9" s="311"/>
      <c r="E9" s="191">
        <f>E5+E6+E7+E8</f>
        <v>991</v>
      </c>
      <c r="F9" s="192">
        <f>F5+F6+F7+F8</f>
        <v>461</v>
      </c>
      <c r="G9" s="193">
        <f>G5+G6+G7+G8</f>
        <v>530</v>
      </c>
      <c r="H9" s="306"/>
      <c r="I9" s="253"/>
      <c r="J9" s="253"/>
      <c r="K9" s="253"/>
      <c r="L9" s="157"/>
      <c r="M9" s="207"/>
      <c r="N9" s="189"/>
    </row>
    <row r="10" spans="2:14" x14ac:dyDescent="0.35">
      <c r="D10" s="126"/>
    </row>
  </sheetData>
  <mergeCells count="6">
    <mergeCell ref="B2:N2"/>
    <mergeCell ref="D3:D4"/>
    <mergeCell ref="C3:C4"/>
    <mergeCell ref="B3:B4"/>
    <mergeCell ref="F3:G3"/>
    <mergeCell ref="H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9"/>
  <sheetViews>
    <sheetView workbookViewId="0">
      <selection activeCell="B1" sqref="B1:N8"/>
    </sheetView>
  </sheetViews>
  <sheetFormatPr defaultRowHeight="14.5" x14ac:dyDescent="0.35"/>
  <cols>
    <col min="3" max="3" width="18.81640625" customWidth="1"/>
    <col min="4" max="4" width="13.08984375" customWidth="1"/>
    <col min="5" max="5" width="14.90625" customWidth="1"/>
    <col min="6" max="6" width="13.26953125" customWidth="1"/>
    <col min="7" max="7" width="11.453125" customWidth="1"/>
    <col min="8" max="9" width="15.26953125" customWidth="1"/>
    <col min="10" max="14" width="21.6328125" customWidth="1"/>
  </cols>
  <sheetData>
    <row r="1" spans="2:14" ht="15" thickBot="1" x14ac:dyDescent="0.4">
      <c r="B1" s="372" t="s">
        <v>52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4"/>
    </row>
    <row r="2" spans="2:14" ht="28.5" thickBot="1" x14ac:dyDescent="0.4">
      <c r="B2" s="379" t="s">
        <v>0</v>
      </c>
      <c r="C2" s="377" t="s">
        <v>1</v>
      </c>
      <c r="D2" s="375" t="s">
        <v>2</v>
      </c>
      <c r="E2" s="314" t="s">
        <v>61</v>
      </c>
      <c r="F2" s="385" t="s">
        <v>60</v>
      </c>
      <c r="G2" s="386"/>
      <c r="H2" s="383" t="s">
        <v>59</v>
      </c>
      <c r="I2" s="384"/>
      <c r="J2" s="304" t="s">
        <v>87</v>
      </c>
      <c r="K2" s="336" t="s">
        <v>83</v>
      </c>
      <c r="L2" s="314" t="s">
        <v>84</v>
      </c>
      <c r="M2" s="340" t="s">
        <v>85</v>
      </c>
      <c r="N2" s="254" t="s">
        <v>86</v>
      </c>
    </row>
    <row r="3" spans="2:14" ht="15" thickBot="1" x14ac:dyDescent="0.4">
      <c r="B3" s="380"/>
      <c r="C3" s="378"/>
      <c r="D3" s="376"/>
      <c r="E3" s="307"/>
      <c r="F3" s="194" t="s">
        <v>4</v>
      </c>
      <c r="G3" s="195" t="s">
        <v>5</v>
      </c>
      <c r="H3" s="196" t="s">
        <v>4</v>
      </c>
      <c r="I3" s="197" t="s">
        <v>5</v>
      </c>
      <c r="J3" s="305"/>
      <c r="K3" s="338"/>
      <c r="L3" s="307"/>
      <c r="M3" s="341"/>
      <c r="N3" s="345"/>
    </row>
    <row r="4" spans="2:14" ht="42" x14ac:dyDescent="0.35">
      <c r="B4" s="166">
        <v>1</v>
      </c>
      <c r="C4" s="167" t="s">
        <v>88</v>
      </c>
      <c r="D4" s="198" t="s">
        <v>7</v>
      </c>
      <c r="E4" s="171">
        <f>G4+F4</f>
        <v>136</v>
      </c>
      <c r="F4" s="199">
        <v>38</v>
      </c>
      <c r="G4" s="200">
        <v>98</v>
      </c>
      <c r="H4" s="172"/>
      <c r="I4" s="173"/>
      <c r="J4" s="175"/>
      <c r="K4" s="175"/>
      <c r="L4" s="175"/>
      <c r="M4" s="174"/>
      <c r="N4" s="174"/>
    </row>
    <row r="5" spans="2:14" ht="56" x14ac:dyDescent="0.35">
      <c r="B5" s="141">
        <f>B4+1</f>
        <v>2</v>
      </c>
      <c r="C5" s="142" t="s">
        <v>89</v>
      </c>
      <c r="D5" s="159" t="s">
        <v>7</v>
      </c>
      <c r="E5" s="144">
        <f t="shared" ref="E5:E7" si="0">G5+F5</f>
        <v>232</v>
      </c>
      <c r="F5" s="145">
        <v>116</v>
      </c>
      <c r="G5" s="146">
        <v>116</v>
      </c>
      <c r="H5" s="147"/>
      <c r="I5" s="179"/>
      <c r="J5" s="180"/>
      <c r="K5" s="180"/>
      <c r="L5" s="180"/>
      <c r="M5" s="149"/>
      <c r="N5" s="149"/>
    </row>
    <row r="6" spans="2:14" ht="42" x14ac:dyDescent="0.35">
      <c r="B6" s="141">
        <f t="shared" ref="B6:B7" si="1">B5+1</f>
        <v>3</v>
      </c>
      <c r="C6" s="142" t="s">
        <v>90</v>
      </c>
      <c r="D6" s="159" t="s">
        <v>7</v>
      </c>
      <c r="E6" s="144">
        <f t="shared" si="0"/>
        <v>256</v>
      </c>
      <c r="F6" s="145">
        <v>124</v>
      </c>
      <c r="G6" s="146">
        <v>132</v>
      </c>
      <c r="H6" s="147"/>
      <c r="I6" s="179"/>
      <c r="J6" s="180"/>
      <c r="K6" s="180"/>
      <c r="L6" s="180"/>
      <c r="M6" s="149"/>
      <c r="N6" s="149"/>
    </row>
    <row r="7" spans="2:14" ht="42" x14ac:dyDescent="0.35">
      <c r="B7" s="181">
        <f t="shared" si="1"/>
        <v>4</v>
      </c>
      <c r="C7" s="182" t="s">
        <v>91</v>
      </c>
      <c r="D7" s="201" t="s">
        <v>7</v>
      </c>
      <c r="E7" s="186">
        <f t="shared" si="0"/>
        <v>232</v>
      </c>
      <c r="F7" s="202">
        <v>26</v>
      </c>
      <c r="G7" s="203">
        <v>206</v>
      </c>
      <c r="H7" s="187"/>
      <c r="I7" s="188"/>
      <c r="J7" s="190"/>
      <c r="K7" s="190"/>
      <c r="L7" s="190"/>
      <c r="M7" s="189"/>
      <c r="N7" s="189"/>
    </row>
    <row r="8" spans="2:14" x14ac:dyDescent="0.35">
      <c r="B8" s="306" t="s">
        <v>8</v>
      </c>
      <c r="C8" s="311"/>
      <c r="D8" s="315"/>
      <c r="E8" s="204">
        <f>E4+E5+E6+E7</f>
        <v>856</v>
      </c>
      <c r="F8" s="205">
        <f t="shared" ref="F8:G8" si="2">F4+F5+F6+F7</f>
        <v>304</v>
      </c>
      <c r="G8" s="206">
        <f t="shared" si="2"/>
        <v>552</v>
      </c>
      <c r="H8" s="306"/>
      <c r="I8" s="253"/>
      <c r="J8" s="253"/>
      <c r="K8" s="253"/>
      <c r="L8" s="253"/>
      <c r="M8" s="157"/>
      <c r="N8" s="157"/>
    </row>
    <row r="9" spans="2:14" x14ac:dyDescent="0.35">
      <c r="E9" s="158"/>
      <c r="F9" s="158"/>
    </row>
  </sheetData>
  <mergeCells count="6">
    <mergeCell ref="B1:N1"/>
    <mergeCell ref="F2:G2"/>
    <mergeCell ref="H2:I2"/>
    <mergeCell ref="D2:D3"/>
    <mergeCell ref="C2:C3"/>
    <mergeCell ref="B2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"/>
  <sheetViews>
    <sheetView workbookViewId="0">
      <selection activeCell="B2" sqref="B2:N9"/>
    </sheetView>
  </sheetViews>
  <sheetFormatPr defaultRowHeight="14.5" x14ac:dyDescent="0.35"/>
  <cols>
    <col min="2" max="2" width="5.08984375" customWidth="1"/>
    <col min="3" max="3" width="7.36328125" bestFit="1" customWidth="1"/>
    <col min="4" max="4" width="13.81640625" customWidth="1"/>
    <col min="5" max="5" width="17.54296875" customWidth="1"/>
    <col min="8" max="8" width="13.26953125" customWidth="1"/>
    <col min="9" max="9" width="12.81640625" customWidth="1"/>
    <col min="10" max="14" width="21.6328125" customWidth="1"/>
  </cols>
  <sheetData>
    <row r="1" spans="1:15" ht="15" thickBot="1" x14ac:dyDescent="0.4">
      <c r="A1" s="118"/>
      <c r="B1" s="124"/>
      <c r="C1" s="125"/>
      <c r="D1" s="125"/>
      <c r="E1" s="127"/>
      <c r="F1" s="127"/>
      <c r="G1" s="127"/>
      <c r="H1" s="128"/>
      <c r="I1" s="128"/>
      <c r="J1" s="128"/>
      <c r="K1" s="128"/>
      <c r="L1" s="128"/>
      <c r="M1" s="128"/>
      <c r="N1" s="128"/>
      <c r="O1" s="118"/>
    </row>
    <row r="2" spans="1:15" ht="15" thickBot="1" x14ac:dyDescent="0.4">
      <c r="A2" s="118"/>
      <c r="B2" s="372" t="s">
        <v>53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4"/>
      <c r="O2" s="118"/>
    </row>
    <row r="3" spans="1:15" ht="28.5" thickBot="1" x14ac:dyDescent="0.4">
      <c r="A3" s="118"/>
      <c r="B3" s="316" t="s">
        <v>0</v>
      </c>
      <c r="C3" s="319" t="s">
        <v>1</v>
      </c>
      <c r="D3" s="317" t="s">
        <v>2</v>
      </c>
      <c r="E3" s="314" t="s">
        <v>61</v>
      </c>
      <c r="F3" s="385" t="s">
        <v>60</v>
      </c>
      <c r="G3" s="386"/>
      <c r="H3" s="370" t="s">
        <v>59</v>
      </c>
      <c r="I3" s="371"/>
      <c r="J3" s="390" t="s">
        <v>58</v>
      </c>
      <c r="K3" s="336" t="s">
        <v>83</v>
      </c>
      <c r="L3" s="314" t="s">
        <v>84</v>
      </c>
      <c r="M3" s="314" t="s">
        <v>85</v>
      </c>
      <c r="N3" s="337" t="s">
        <v>86</v>
      </c>
      <c r="O3" s="118"/>
    </row>
    <row r="4" spans="1:15" ht="15" thickBot="1" x14ac:dyDescent="0.4">
      <c r="A4" s="122"/>
      <c r="B4" s="310"/>
      <c r="C4" s="308"/>
      <c r="D4" s="318"/>
      <c r="E4" s="307"/>
      <c r="F4" s="130" t="s">
        <v>4</v>
      </c>
      <c r="G4" s="208" t="s">
        <v>5</v>
      </c>
      <c r="H4" s="130" t="s">
        <v>4</v>
      </c>
      <c r="I4" s="209" t="s">
        <v>5</v>
      </c>
      <c r="J4" s="391"/>
      <c r="K4" s="338"/>
      <c r="L4" s="307"/>
      <c r="M4" s="307"/>
      <c r="N4" s="339"/>
      <c r="O4" s="122"/>
    </row>
    <row r="5" spans="1:15" x14ac:dyDescent="0.35">
      <c r="A5" s="118"/>
      <c r="B5" s="133">
        <v>1</v>
      </c>
      <c r="C5" s="134" t="s">
        <v>100</v>
      </c>
      <c r="D5" s="210" t="s">
        <v>9</v>
      </c>
      <c r="E5" s="211">
        <f>F5+G5</f>
        <v>200</v>
      </c>
      <c r="F5" s="212">
        <v>40</v>
      </c>
      <c r="G5" s="213">
        <v>160</v>
      </c>
      <c r="H5" s="138"/>
      <c r="I5" s="214"/>
      <c r="J5" s="333"/>
      <c r="K5" s="333"/>
      <c r="L5" s="333"/>
      <c r="M5" s="174"/>
      <c r="N5" s="174"/>
      <c r="O5" s="118"/>
    </row>
    <row r="6" spans="1:15" x14ac:dyDescent="0.35">
      <c r="A6" s="118"/>
      <c r="B6" s="141">
        <v>2</v>
      </c>
      <c r="C6" s="142" t="s">
        <v>101</v>
      </c>
      <c r="D6" s="176" t="s">
        <v>9</v>
      </c>
      <c r="E6" s="177">
        <f t="shared" ref="E6:E8" si="0">F6+G6</f>
        <v>292</v>
      </c>
      <c r="F6" s="178">
        <v>82</v>
      </c>
      <c r="G6" s="160">
        <v>210</v>
      </c>
      <c r="H6" s="147"/>
      <c r="I6" s="179"/>
      <c r="J6" s="180"/>
      <c r="K6" s="180"/>
      <c r="L6" s="180"/>
      <c r="M6" s="149"/>
      <c r="N6" s="149"/>
      <c r="O6" s="118"/>
    </row>
    <row r="7" spans="1:15" x14ac:dyDescent="0.35">
      <c r="A7" s="118"/>
      <c r="B7" s="141">
        <v>3</v>
      </c>
      <c r="C7" s="142" t="s">
        <v>102</v>
      </c>
      <c r="D7" s="176" t="s">
        <v>9</v>
      </c>
      <c r="E7" s="177">
        <f t="shared" si="0"/>
        <v>226</v>
      </c>
      <c r="F7" s="178">
        <v>56</v>
      </c>
      <c r="G7" s="160">
        <v>170</v>
      </c>
      <c r="H7" s="147"/>
      <c r="I7" s="179"/>
      <c r="J7" s="180"/>
      <c r="K7" s="180"/>
      <c r="L7" s="180"/>
      <c r="M7" s="149"/>
      <c r="N7" s="149"/>
      <c r="O7" s="118"/>
    </row>
    <row r="8" spans="1:15" ht="15" thickBot="1" x14ac:dyDescent="0.4">
      <c r="A8" s="118"/>
      <c r="B8" s="150">
        <v>4</v>
      </c>
      <c r="C8" s="151" t="s">
        <v>103</v>
      </c>
      <c r="D8" s="215" t="s">
        <v>9</v>
      </c>
      <c r="E8" s="216">
        <f t="shared" si="0"/>
        <v>200</v>
      </c>
      <c r="F8" s="217">
        <v>40</v>
      </c>
      <c r="G8" s="218">
        <v>160</v>
      </c>
      <c r="H8" s="187"/>
      <c r="I8" s="188"/>
      <c r="J8" s="190"/>
      <c r="K8" s="190"/>
      <c r="L8" s="190"/>
      <c r="M8" s="189"/>
      <c r="N8" s="189"/>
      <c r="O8" s="118"/>
    </row>
    <row r="9" spans="1:15" ht="15" thickBot="1" x14ac:dyDescent="0.4">
      <c r="A9" s="118"/>
      <c r="B9" s="387" t="s">
        <v>8</v>
      </c>
      <c r="C9" s="388"/>
      <c r="D9" s="389"/>
      <c r="E9" s="219">
        <f>E5+E6+E7+E8</f>
        <v>918</v>
      </c>
      <c r="F9" s="219">
        <f t="shared" ref="F9:G9" si="1">F5+F6+F7+F8</f>
        <v>218</v>
      </c>
      <c r="G9" s="219">
        <f t="shared" si="1"/>
        <v>700</v>
      </c>
      <c r="H9" s="306"/>
      <c r="I9" s="253"/>
      <c r="J9" s="253"/>
      <c r="K9" s="253"/>
      <c r="L9" s="253"/>
      <c r="M9" s="157"/>
      <c r="N9" s="157"/>
      <c r="O9" s="118"/>
    </row>
    <row r="10" spans="1:15" x14ac:dyDescent="0.35">
      <c r="A10" s="118"/>
      <c r="B10" s="124"/>
      <c r="C10" s="125"/>
      <c r="D10" s="220"/>
      <c r="E10" s="158"/>
      <c r="F10" s="158"/>
      <c r="G10" s="127"/>
      <c r="H10" s="128"/>
      <c r="I10" s="128"/>
      <c r="J10" s="128"/>
      <c r="K10" s="128"/>
      <c r="L10" s="128"/>
      <c r="M10" s="128"/>
      <c r="N10" s="128"/>
      <c r="O10" s="118"/>
    </row>
  </sheetData>
  <mergeCells count="5">
    <mergeCell ref="B2:N2"/>
    <mergeCell ref="B9:D9"/>
    <mergeCell ref="H3:I3"/>
    <mergeCell ref="F3:G3"/>
    <mergeCell ref="J3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"/>
  <sheetViews>
    <sheetView workbookViewId="0">
      <selection activeCell="B2" sqref="B2:N7"/>
    </sheetView>
  </sheetViews>
  <sheetFormatPr defaultRowHeight="14.5" x14ac:dyDescent="0.35"/>
  <cols>
    <col min="2" max="2" width="3.90625" customWidth="1"/>
    <col min="3" max="3" width="33.453125" customWidth="1"/>
    <col min="4" max="4" width="15.08984375" customWidth="1"/>
    <col min="5" max="5" width="16.08984375" customWidth="1"/>
    <col min="6" max="6" width="15.81640625" customWidth="1"/>
    <col min="7" max="7" width="14.90625" customWidth="1"/>
    <col min="8" max="8" width="17.81640625" customWidth="1"/>
    <col min="9" max="9" width="17.90625" customWidth="1"/>
    <col min="10" max="14" width="21.6328125" customWidth="1"/>
  </cols>
  <sheetData>
    <row r="1" spans="1:15" ht="15" thickBot="1" x14ac:dyDescent="0.4">
      <c r="A1" s="128"/>
      <c r="B1" s="124"/>
      <c r="C1" s="125"/>
      <c r="D1" s="125"/>
      <c r="E1" s="127"/>
      <c r="F1" s="127"/>
      <c r="G1" s="127"/>
      <c r="H1" s="128"/>
      <c r="I1" s="128"/>
      <c r="J1" s="128"/>
      <c r="K1" s="128"/>
      <c r="L1" s="128"/>
      <c r="M1" s="128"/>
      <c r="N1" s="128"/>
      <c r="O1" s="128"/>
    </row>
    <row r="2" spans="1:15" ht="15" thickBot="1" x14ac:dyDescent="0.4">
      <c r="A2" s="128"/>
      <c r="B2" s="372" t="s">
        <v>56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4"/>
      <c r="O2" s="128"/>
    </row>
    <row r="3" spans="1:15" ht="28.5" thickBot="1" x14ac:dyDescent="0.4">
      <c r="A3" s="128"/>
      <c r="B3" s="316" t="s">
        <v>0</v>
      </c>
      <c r="C3" s="317" t="s">
        <v>1</v>
      </c>
      <c r="D3" s="304" t="s">
        <v>2</v>
      </c>
      <c r="E3" s="314" t="s">
        <v>61</v>
      </c>
      <c r="F3" s="385" t="s">
        <v>60</v>
      </c>
      <c r="G3" s="386"/>
      <c r="H3" s="370" t="s">
        <v>59</v>
      </c>
      <c r="I3" s="371"/>
      <c r="J3" s="390" t="s">
        <v>58</v>
      </c>
      <c r="K3" s="336" t="s">
        <v>83</v>
      </c>
      <c r="L3" s="314" t="s">
        <v>84</v>
      </c>
      <c r="M3" s="314" t="s">
        <v>85</v>
      </c>
      <c r="N3" s="337" t="s">
        <v>86</v>
      </c>
      <c r="O3" s="128"/>
    </row>
    <row r="4" spans="1:15" ht="15" thickBot="1" x14ac:dyDescent="0.4">
      <c r="A4" s="129"/>
      <c r="B4" s="310"/>
      <c r="C4" s="318"/>
      <c r="D4" s="305"/>
      <c r="E4" s="307"/>
      <c r="F4" s="221" t="s">
        <v>4</v>
      </c>
      <c r="G4" s="222" t="s">
        <v>5</v>
      </c>
      <c r="H4" s="223" t="s">
        <v>4</v>
      </c>
      <c r="I4" s="224" t="s">
        <v>5</v>
      </c>
      <c r="J4" s="391"/>
      <c r="K4" s="338"/>
      <c r="L4" s="307"/>
      <c r="M4" s="307"/>
      <c r="N4" s="339"/>
      <c r="O4" s="129"/>
    </row>
    <row r="5" spans="1:15" ht="42" x14ac:dyDescent="0.35">
      <c r="A5" s="128"/>
      <c r="B5" s="133">
        <v>1</v>
      </c>
      <c r="C5" s="210" t="s">
        <v>104</v>
      </c>
      <c r="D5" s="225" t="s">
        <v>10</v>
      </c>
      <c r="E5" s="169">
        <f>F5+G5</f>
        <v>465</v>
      </c>
      <c r="F5" s="169">
        <v>306</v>
      </c>
      <c r="G5" s="226">
        <v>159</v>
      </c>
      <c r="H5" s="227"/>
      <c r="I5" s="173"/>
      <c r="J5" s="175"/>
      <c r="K5" s="175"/>
      <c r="L5" s="175"/>
      <c r="M5" s="174"/>
      <c r="N5" s="174"/>
      <c r="O5" s="128"/>
    </row>
    <row r="6" spans="1:15" ht="15" thickBot="1" x14ac:dyDescent="0.4">
      <c r="A6" s="128"/>
      <c r="B6" s="150">
        <f t="shared" ref="B6" si="0">B5+1</f>
        <v>2</v>
      </c>
      <c r="C6" s="215" t="s">
        <v>105</v>
      </c>
      <c r="D6" s="228" t="s">
        <v>10</v>
      </c>
      <c r="E6" s="216">
        <f>F6+G6</f>
        <v>464</v>
      </c>
      <c r="F6" s="216">
        <v>305</v>
      </c>
      <c r="G6" s="229">
        <v>159</v>
      </c>
      <c r="H6" s="230"/>
      <c r="I6" s="231"/>
      <c r="J6" s="335"/>
      <c r="K6" s="335"/>
      <c r="L6" s="335"/>
      <c r="M6" s="156"/>
      <c r="N6" s="156"/>
      <c r="O6" s="128"/>
    </row>
    <row r="7" spans="1:15" ht="15" thickBot="1" x14ac:dyDescent="0.4">
      <c r="A7" s="129"/>
      <c r="B7" s="372" t="s">
        <v>26</v>
      </c>
      <c r="C7" s="373"/>
      <c r="D7" s="374"/>
      <c r="E7" s="232">
        <f>E5+E6</f>
        <v>929</v>
      </c>
      <c r="F7" s="232">
        <f t="shared" ref="F7:G7" si="1">F5+F6</f>
        <v>611</v>
      </c>
      <c r="G7" s="233">
        <f t="shared" si="1"/>
        <v>318</v>
      </c>
      <c r="H7" s="312"/>
      <c r="I7" s="252"/>
      <c r="J7" s="334"/>
      <c r="K7" s="334"/>
      <c r="L7" s="334"/>
      <c r="M7" s="234"/>
      <c r="N7" s="235"/>
      <c r="O7" s="129"/>
    </row>
  </sheetData>
  <mergeCells count="5">
    <mergeCell ref="B7:D7"/>
    <mergeCell ref="B2:N2"/>
    <mergeCell ref="F3:G3"/>
    <mergeCell ref="H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Corridors</vt:lpstr>
      <vt:lpstr>Current</vt:lpstr>
      <vt:lpstr>7% Increase</vt:lpstr>
      <vt:lpstr>Envisaged Open Tender</vt:lpstr>
      <vt:lpstr>WP-1-GW</vt:lpstr>
      <vt:lpstr>WP-2-GE</vt:lpstr>
      <vt:lpstr>WP-3 GN</vt:lpstr>
      <vt:lpstr>WP-4-WC</vt:lpstr>
      <vt:lpstr>WP-5-KZN</vt:lpstr>
      <vt:lpstr>WP-6-EC</vt:lpstr>
      <vt:lpstr>WP-7-MLPS</vt:lpstr>
      <vt:lpstr>WP-8-Ad-hoc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Japhta</dc:creator>
  <cp:lastModifiedBy>Siphiwe Kubheka</cp:lastModifiedBy>
  <dcterms:created xsi:type="dcterms:W3CDTF">2022-12-13T11:05:18Z</dcterms:created>
  <dcterms:modified xsi:type="dcterms:W3CDTF">2023-06-26T07:55:19Z</dcterms:modified>
</cp:coreProperties>
</file>